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zybowa/Desktop/"/>
    </mc:Choice>
  </mc:AlternateContent>
  <xr:revisionPtr revIDLastSave="0" documentId="13_ncr:1_{8461F79A-4E09-2440-AC31-BDAE5DEC6B3B}" xr6:coauthVersionLast="47" xr6:coauthVersionMax="47" xr10:uidLastSave="{00000000-0000-0000-0000-000000000000}"/>
  <bookViews>
    <workbookView xWindow="17400" yWindow="1440" windowWidth="21680" windowHeight="17680" xr2:uid="{00000000-000D-0000-FFFF-FFFF00000000}"/>
  </bookViews>
  <sheets>
    <sheet name="Box Figure 1" sheetId="29" r:id="rId1"/>
    <sheet name="Box Figure 2" sheetId="30" r:id="rId2"/>
    <sheet name="Figure 1" sheetId="18" r:id="rId3"/>
    <sheet name="Figure 2" sheetId="26" r:id="rId4"/>
    <sheet name="Figure 3" sheetId="17" r:id="rId5"/>
    <sheet name="Figure 4" sheetId="19" state="hidden" r:id="rId6"/>
    <sheet name="Table 6 (2)" sheetId="24" state="hidden" r:id="rId7"/>
    <sheet name="Table wages" sheetId="20" state="hidden" r:id="rId8"/>
    <sheet name="Table 4 (2)" sheetId="22" state="hidden" r:id="rId9"/>
    <sheet name="Table 5 (2)" sheetId="23" state="hidden" r:id="rId10"/>
    <sheet name="Table 11" sheetId="3" state="hidden" r:id="rId11"/>
    <sheet name="Table 12" sheetId="4" state="hidden" r:id="rId1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2" i="23" l="1"/>
  <c r="T22" i="23"/>
  <c r="S22" i="23"/>
  <c r="U21" i="23"/>
  <c r="T21" i="23"/>
  <c r="S21" i="23"/>
  <c r="U20" i="23"/>
  <c r="T20" i="23"/>
  <c r="S20" i="23"/>
  <c r="U19" i="23"/>
  <c r="T19" i="23"/>
  <c r="S19" i="23"/>
  <c r="U18" i="23"/>
  <c r="T18" i="23"/>
  <c r="S18" i="23"/>
  <c r="U17" i="23"/>
  <c r="T17" i="23"/>
  <c r="S17" i="23"/>
  <c r="D22" i="23"/>
  <c r="C22" i="23"/>
  <c r="B22" i="23"/>
  <c r="D21" i="23"/>
  <c r="C21" i="23"/>
  <c r="B21" i="23"/>
  <c r="D20" i="23"/>
  <c r="C20" i="23"/>
  <c r="B20" i="23"/>
  <c r="D19" i="23"/>
  <c r="C19" i="23"/>
  <c r="B19" i="23"/>
  <c r="D18" i="23"/>
  <c r="C18" i="23"/>
  <c r="B18" i="23"/>
  <c r="D17" i="23"/>
  <c r="C17" i="23"/>
  <c r="B17" i="23"/>
  <c r="U9" i="23"/>
  <c r="T9" i="23"/>
  <c r="S9" i="23"/>
  <c r="U8" i="23"/>
  <c r="T8" i="23"/>
  <c r="S8" i="23"/>
  <c r="U7" i="23"/>
  <c r="T7" i="23"/>
  <c r="S7" i="23"/>
  <c r="U6" i="23"/>
  <c r="T6" i="23"/>
  <c r="S6" i="23"/>
  <c r="U5" i="23"/>
  <c r="T5" i="23"/>
  <c r="S5" i="23"/>
  <c r="U4" i="23"/>
  <c r="T4" i="23"/>
  <c r="S4" i="23"/>
  <c r="D9" i="23"/>
  <c r="C9" i="23"/>
  <c r="B9" i="23"/>
  <c r="D8" i="23"/>
  <c r="C8" i="23"/>
  <c r="B8" i="23"/>
  <c r="D7" i="23"/>
  <c r="C7" i="23"/>
  <c r="B7" i="23"/>
  <c r="D6" i="23"/>
  <c r="C6" i="23"/>
  <c r="B6" i="23"/>
  <c r="D5" i="23"/>
  <c r="C5" i="23"/>
  <c r="B5" i="23"/>
  <c r="D4" i="23"/>
  <c r="C4" i="23"/>
  <c r="B4" i="23"/>
  <c r="D22" i="22"/>
  <c r="C22" i="22"/>
  <c r="B22" i="22"/>
  <c r="D21" i="22"/>
  <c r="C21" i="22"/>
  <c r="B21" i="22"/>
  <c r="D20" i="22"/>
  <c r="C20" i="22"/>
  <c r="B20" i="22"/>
  <c r="D19" i="22"/>
  <c r="C19" i="22"/>
  <c r="B19" i="22"/>
  <c r="D18" i="22"/>
  <c r="C18" i="22"/>
  <c r="B18" i="22"/>
  <c r="D17" i="22"/>
  <c r="C17" i="22"/>
  <c r="B17" i="22"/>
  <c r="D9" i="22"/>
  <c r="C9" i="22"/>
  <c r="B9" i="22"/>
  <c r="D8" i="22"/>
  <c r="C8" i="22"/>
  <c r="B8" i="22"/>
  <c r="D7" i="22"/>
  <c r="C7" i="22"/>
  <c r="B7" i="22"/>
  <c r="D6" i="22"/>
  <c r="C6" i="22"/>
  <c r="B6" i="22"/>
  <c r="D5" i="22"/>
  <c r="C5" i="22"/>
  <c r="B5" i="22"/>
  <c r="D4" i="22"/>
  <c r="C4" i="22"/>
  <c r="B4" i="22"/>
  <c r="D33" i="24"/>
  <c r="C33" i="24"/>
  <c r="B33" i="24"/>
  <c r="D32" i="24"/>
  <c r="C32" i="24"/>
  <c r="B32" i="24"/>
  <c r="D31" i="24"/>
  <c r="C31" i="24"/>
  <c r="B31" i="24"/>
  <c r="D30" i="24"/>
  <c r="C30" i="24"/>
  <c r="B30" i="24"/>
  <c r="D29" i="24"/>
  <c r="C29" i="24"/>
  <c r="B29" i="24"/>
  <c r="D28" i="24"/>
  <c r="C28" i="24"/>
  <c r="B28" i="24"/>
  <c r="D27" i="24"/>
  <c r="C27" i="24"/>
  <c r="B27" i="24"/>
  <c r="D26" i="24"/>
  <c r="C26" i="24"/>
  <c r="B26" i="24"/>
  <c r="D25" i="24"/>
  <c r="C25" i="24"/>
  <c r="B25" i="24"/>
  <c r="D24" i="24"/>
  <c r="C24" i="24"/>
  <c r="B24" i="24"/>
  <c r="D23" i="24"/>
  <c r="C23" i="24"/>
  <c r="B23" i="24"/>
  <c r="D22" i="24"/>
  <c r="C22" i="24"/>
  <c r="B22" i="24"/>
  <c r="D15" i="24"/>
  <c r="C15" i="24"/>
  <c r="B15" i="24"/>
  <c r="D14" i="24"/>
  <c r="C14" i="24"/>
  <c r="B14" i="24"/>
  <c r="D13" i="24"/>
  <c r="C13" i="24"/>
  <c r="B13" i="24"/>
  <c r="D12" i="24"/>
  <c r="C12" i="24"/>
  <c r="B12" i="24"/>
  <c r="D11" i="24"/>
  <c r="C11" i="24"/>
  <c r="B11" i="24"/>
  <c r="D10" i="24"/>
  <c r="C10" i="24"/>
  <c r="B10" i="24"/>
  <c r="D9" i="24"/>
  <c r="C9" i="24"/>
  <c r="B9" i="24"/>
  <c r="D8" i="24"/>
  <c r="C8" i="24"/>
  <c r="B8" i="24"/>
  <c r="D7" i="24"/>
  <c r="C7" i="24"/>
  <c r="B7" i="24"/>
  <c r="D6" i="24"/>
  <c r="C6" i="24"/>
  <c r="B6" i="24"/>
  <c r="D5" i="24"/>
  <c r="C5" i="24"/>
  <c r="B5" i="24"/>
  <c r="D4" i="24"/>
  <c r="C4" i="24"/>
  <c r="B4" i="24"/>
  <c r="A34" i="24"/>
  <c r="A33" i="24"/>
  <c r="A32" i="24"/>
  <c r="A31" i="24"/>
  <c r="A29" i="24"/>
  <c r="A27" i="24"/>
  <c r="A25" i="24"/>
  <c r="A23" i="24"/>
  <c r="A21" i="24"/>
  <c r="D20" i="24"/>
  <c r="C20" i="24"/>
  <c r="B20" i="24"/>
  <c r="A20" i="24"/>
  <c r="A16" i="24"/>
  <c r="A15" i="24"/>
  <c r="A14" i="24"/>
  <c r="A13" i="24"/>
  <c r="A11" i="24"/>
  <c r="A9" i="24"/>
  <c r="A7" i="24"/>
  <c r="A5" i="24"/>
  <c r="A3" i="24"/>
  <c r="D2" i="24"/>
  <c r="C2" i="24"/>
  <c r="B2" i="24"/>
  <c r="A2" i="24"/>
  <c r="R16" i="23"/>
  <c r="U15" i="23"/>
  <c r="T15" i="23"/>
  <c r="S15" i="23"/>
  <c r="R10" i="23"/>
  <c r="R3" i="23"/>
  <c r="U2" i="23"/>
  <c r="T2" i="23"/>
  <c r="S2" i="23"/>
  <c r="A23" i="22"/>
  <c r="A16" i="22"/>
  <c r="D15" i="22"/>
  <c r="C15" i="22"/>
  <c r="B15" i="22"/>
  <c r="A15" i="22"/>
  <c r="A16" i="23"/>
  <c r="D15" i="23"/>
  <c r="C15" i="23"/>
  <c r="B15" i="23"/>
  <c r="A10" i="23"/>
  <c r="A3" i="23"/>
  <c r="D2" i="23"/>
  <c r="C2" i="23"/>
  <c r="B2" i="23"/>
  <c r="A10" i="22"/>
  <c r="A3" i="22"/>
  <c r="D2" i="22"/>
  <c r="C2" i="22"/>
  <c r="B2" i="22"/>
  <c r="A2" i="22"/>
  <c r="G19" i="3"/>
  <c r="F19" i="3"/>
  <c r="E19" i="3"/>
  <c r="D19" i="3"/>
  <c r="C19" i="3"/>
  <c r="B19" i="3"/>
  <c r="G18" i="3"/>
  <c r="F18" i="3"/>
  <c r="E18" i="3"/>
  <c r="D18" i="3"/>
  <c r="C18" i="3"/>
  <c r="B18" i="3"/>
  <c r="G17" i="3"/>
  <c r="F17" i="3"/>
  <c r="E17" i="3"/>
  <c r="D17" i="3"/>
  <c r="C17" i="3"/>
  <c r="B17" i="3"/>
  <c r="G16" i="3"/>
  <c r="F16" i="3"/>
  <c r="E16" i="3"/>
  <c r="D16" i="3"/>
  <c r="C16" i="3"/>
  <c r="B16" i="3"/>
  <c r="G15" i="3"/>
  <c r="F15" i="3"/>
  <c r="E15" i="3"/>
  <c r="D15" i="3"/>
  <c r="C15" i="3"/>
  <c r="B15" i="3"/>
  <c r="G14" i="3"/>
  <c r="F14" i="3"/>
  <c r="E14" i="3"/>
  <c r="D14" i="3"/>
  <c r="C14" i="3"/>
  <c r="B14" i="3"/>
  <c r="G13" i="3"/>
  <c r="F13" i="3"/>
  <c r="E13" i="3"/>
  <c r="D13" i="3"/>
  <c r="C13" i="3"/>
  <c r="B13" i="3"/>
  <c r="G12" i="3"/>
  <c r="F12" i="3"/>
  <c r="E12" i="3"/>
  <c r="D12" i="3"/>
  <c r="C12" i="3"/>
  <c r="B12" i="3"/>
  <c r="G11" i="3"/>
  <c r="F11" i="3"/>
  <c r="E11" i="3"/>
  <c r="D11" i="3"/>
  <c r="C11" i="3"/>
  <c r="B11" i="3"/>
  <c r="G10" i="3"/>
  <c r="F10" i="3"/>
  <c r="E10" i="3"/>
  <c r="D10" i="3"/>
  <c r="C10" i="3"/>
  <c r="B10" i="3"/>
  <c r="G9" i="3"/>
  <c r="F9" i="3"/>
  <c r="E9" i="3"/>
  <c r="D9" i="3"/>
  <c r="C9" i="3"/>
  <c r="B9" i="3"/>
  <c r="G8" i="3"/>
  <c r="F8" i="3"/>
  <c r="E8" i="3"/>
  <c r="D8" i="3"/>
  <c r="C8" i="3"/>
  <c r="B8" i="3"/>
  <c r="G7" i="3"/>
  <c r="F7" i="3"/>
  <c r="E7" i="3"/>
  <c r="D7" i="3"/>
  <c r="C7" i="3"/>
  <c r="B7" i="3"/>
  <c r="G6" i="3"/>
  <c r="F6" i="3"/>
  <c r="E6" i="3"/>
  <c r="D6" i="3"/>
  <c r="C6" i="3"/>
  <c r="B6" i="3"/>
  <c r="G5" i="3"/>
  <c r="F5" i="3"/>
  <c r="E5" i="3"/>
  <c r="D5" i="3"/>
  <c r="C5" i="3"/>
  <c r="B5" i="3"/>
  <c r="G4" i="3"/>
  <c r="F4" i="3"/>
  <c r="E4" i="3"/>
  <c r="D4" i="3"/>
  <c r="C4" i="3"/>
  <c r="B4" i="3"/>
  <c r="G19" i="4"/>
  <c r="F19" i="4"/>
  <c r="E19" i="4"/>
  <c r="D19" i="4"/>
  <c r="C19" i="4"/>
  <c r="B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15" i="4"/>
  <c r="F15" i="4"/>
  <c r="E15" i="4"/>
  <c r="D15" i="4"/>
  <c r="C15" i="4"/>
  <c r="B15" i="4"/>
  <c r="G14" i="4"/>
  <c r="F14" i="4"/>
  <c r="E14" i="4"/>
  <c r="D14" i="4"/>
  <c r="C14" i="4"/>
  <c r="B14" i="4"/>
  <c r="G13" i="4"/>
  <c r="F13" i="4"/>
  <c r="E13" i="4"/>
  <c r="D13" i="4"/>
  <c r="C13" i="4"/>
  <c r="B13" i="4"/>
  <c r="G12" i="4"/>
  <c r="F12" i="4"/>
  <c r="E12" i="4"/>
  <c r="D12" i="4"/>
  <c r="C12" i="4"/>
  <c r="B12" i="4"/>
  <c r="G11" i="4"/>
  <c r="F11" i="4"/>
  <c r="E11" i="4"/>
  <c r="D11" i="4"/>
  <c r="C11" i="4"/>
  <c r="B11" i="4"/>
  <c r="G10" i="4"/>
  <c r="F10" i="4"/>
  <c r="E10" i="4"/>
  <c r="D10" i="4"/>
  <c r="C10" i="4"/>
  <c r="B10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6" i="4"/>
  <c r="F6" i="4"/>
  <c r="E6" i="4"/>
  <c r="D6" i="4"/>
  <c r="C6" i="4"/>
  <c r="B6" i="4"/>
  <c r="G5" i="4"/>
  <c r="F5" i="4"/>
  <c r="E5" i="4"/>
  <c r="D5" i="4"/>
  <c r="C5" i="4"/>
  <c r="B5" i="4"/>
  <c r="G4" i="4"/>
  <c r="F4" i="4"/>
  <c r="E4" i="4"/>
  <c r="D4" i="4"/>
  <c r="C4" i="4"/>
  <c r="B4" i="4"/>
  <c r="G15" i="20"/>
  <c r="F15" i="20"/>
  <c r="E15" i="20"/>
  <c r="G14" i="20"/>
  <c r="F14" i="20"/>
  <c r="E14" i="20"/>
  <c r="G13" i="20"/>
  <c r="F13" i="20"/>
  <c r="E13" i="20"/>
  <c r="G12" i="20"/>
  <c r="F12" i="20"/>
  <c r="E12" i="20"/>
  <c r="G11" i="20"/>
  <c r="F11" i="20"/>
  <c r="E11" i="20"/>
  <c r="G10" i="20"/>
  <c r="F10" i="20"/>
  <c r="E10" i="20"/>
  <c r="G9" i="20"/>
  <c r="F9" i="20"/>
  <c r="E9" i="20"/>
  <c r="G8" i="20"/>
  <c r="F8" i="20"/>
  <c r="E8" i="20"/>
  <c r="G25" i="20"/>
  <c r="F25" i="20"/>
  <c r="E25" i="20"/>
  <c r="D25" i="20"/>
  <c r="C25" i="20"/>
  <c r="B25" i="20"/>
  <c r="G24" i="20"/>
  <c r="F24" i="20"/>
  <c r="E24" i="20"/>
  <c r="D24" i="20"/>
  <c r="C24" i="20"/>
  <c r="B24" i="20"/>
  <c r="G23" i="20"/>
  <c r="F23" i="20"/>
  <c r="E23" i="20"/>
  <c r="D23" i="20"/>
  <c r="C23" i="20"/>
  <c r="B23" i="20"/>
  <c r="G22" i="20"/>
  <c r="F22" i="20"/>
  <c r="E22" i="20"/>
  <c r="D22" i="20"/>
  <c r="C22" i="20"/>
  <c r="B22" i="20"/>
  <c r="G21" i="20"/>
  <c r="F21" i="20"/>
  <c r="E21" i="20"/>
  <c r="D21" i="20"/>
  <c r="C21" i="20"/>
  <c r="B21" i="20"/>
  <c r="G20" i="20"/>
  <c r="F20" i="20"/>
  <c r="E20" i="20"/>
  <c r="D20" i="20"/>
  <c r="C20" i="20"/>
  <c r="B20" i="20"/>
  <c r="G19" i="20"/>
  <c r="F19" i="20"/>
  <c r="E19" i="20"/>
  <c r="D19" i="20"/>
  <c r="C19" i="20"/>
  <c r="B19" i="20"/>
  <c r="G18" i="20"/>
  <c r="F18" i="20"/>
  <c r="E18" i="20"/>
  <c r="D18" i="20"/>
  <c r="C18" i="20"/>
  <c r="B18" i="20"/>
  <c r="G17" i="20"/>
  <c r="F17" i="20"/>
  <c r="E17" i="20"/>
  <c r="D17" i="20"/>
  <c r="C17" i="20"/>
  <c r="B17" i="20"/>
  <c r="G16" i="20"/>
  <c r="F16" i="20"/>
  <c r="E16" i="20"/>
  <c r="D16" i="20"/>
  <c r="C16" i="20"/>
  <c r="B16" i="20"/>
  <c r="G7" i="20"/>
  <c r="F7" i="20"/>
  <c r="E7" i="20"/>
  <c r="D7" i="20"/>
  <c r="C7" i="20"/>
  <c r="B7" i="20"/>
  <c r="G6" i="20"/>
  <c r="F6" i="20"/>
  <c r="E6" i="20"/>
  <c r="D6" i="20"/>
  <c r="C6" i="20"/>
  <c r="B6" i="20"/>
  <c r="G5" i="20"/>
  <c r="F5" i="20"/>
  <c r="E5" i="20"/>
  <c r="D5" i="20"/>
  <c r="C5" i="20"/>
  <c r="B5" i="20"/>
  <c r="G4" i="20"/>
  <c r="F4" i="20"/>
  <c r="E4" i="20"/>
  <c r="D4" i="20"/>
  <c r="C4" i="20"/>
  <c r="B4" i="20"/>
  <c r="G2" i="20"/>
  <c r="F2" i="20"/>
  <c r="E2" i="20"/>
  <c r="A26" i="20"/>
  <c r="A25" i="20"/>
  <c r="A24" i="20"/>
  <c r="A23" i="20"/>
  <c r="A21" i="20"/>
  <c r="A19" i="20"/>
  <c r="A17" i="20"/>
  <c r="A15" i="20"/>
  <c r="A13" i="20"/>
  <c r="A11" i="20"/>
  <c r="A9" i="20"/>
  <c r="A7" i="20"/>
  <c r="A5" i="20"/>
  <c r="A3" i="20"/>
  <c r="D2" i="20"/>
  <c r="C2" i="20"/>
  <c r="B2" i="20"/>
  <c r="A2" i="20"/>
  <c r="A20" i="4"/>
  <c r="A3" i="4"/>
  <c r="G2" i="4"/>
  <c r="F2" i="4"/>
  <c r="E2" i="4"/>
  <c r="D2" i="4"/>
  <c r="C2" i="4"/>
  <c r="B2" i="4"/>
  <c r="A2" i="4"/>
  <c r="A20" i="3"/>
  <c r="A3" i="3"/>
  <c r="G2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<sst xmlns="http://schemas.openxmlformats.org/spreadsheetml/2006/main" count="202" uniqueCount="78">
  <si>
    <t>Lowest Tercile</t>
  </si>
  <si>
    <t>Middle Tercile</t>
  </si>
  <si>
    <t>Top Tercile</t>
  </si>
  <si>
    <t>2021 Dummy</t>
  </si>
  <si>
    <t>Income Decrease</t>
  </si>
  <si>
    <t>Homeowner</t>
  </si>
  <si>
    <t>Has Stocks</t>
  </si>
  <si>
    <t>Have Kids</t>
  </si>
  <si>
    <t>Married</t>
  </si>
  <si>
    <t>Constant</t>
  </si>
  <si>
    <t>N</t>
  </si>
  <si>
    <t>R-sq</t>
  </si>
  <si>
    <t>="* p&lt;.1</t>
  </si>
  <si>
    <t xml:space="preserve"> ** p&lt;.05</t>
  </si>
  <si>
    <t xml:space="preserve"> *** p&lt;.01"</t>
  </si>
  <si>
    <r>
      <t xml:space="preserve">Table 7. </t>
    </r>
    <r>
      <rPr>
        <i/>
        <sz val="12"/>
        <color theme="1"/>
        <rFont val="Times New Roman"/>
        <family val="1"/>
      </rPr>
      <t>Fixed-effect Regression of Percent of Households with Credit Card Debt, by Net Wealth Quintile, Households Ages 25-64</t>
    </r>
  </si>
  <si>
    <r>
      <t xml:space="preserve">Table 8. </t>
    </r>
    <r>
      <rPr>
        <i/>
        <sz val="12"/>
        <color theme="1"/>
        <rFont val="Times New Roman"/>
        <family val="1"/>
      </rPr>
      <t>Fixed-effect Regression of Percent with Student Loans, by Net Wealth Quintile, Households Ages 25-64</t>
    </r>
  </si>
  <si>
    <t>Pandemic Dummy</t>
  </si>
  <si>
    <t>Houseowner</t>
  </si>
  <si>
    <t>Has student loans</t>
  </si>
  <si>
    <t>Has credit card debt</t>
  </si>
  <si>
    <t>Has kids</t>
  </si>
  <si>
    <t>2nd quarter</t>
  </si>
  <si>
    <t>3rd quarter</t>
  </si>
  <si>
    <t>4th quarter</t>
  </si>
  <si>
    <t>Source:</t>
  </si>
  <si>
    <t>* When using these data, please cite the Center for Retirement Research at Boston College.</t>
  </si>
  <si>
    <t>Income group</t>
  </si>
  <si>
    <t>Can't cover $400 unexpected expense in 2019</t>
  </si>
  <si>
    <t>Can't cover $400 unexpected expense in 2021</t>
  </si>
  <si>
    <t>$0 to $24,999</t>
  </si>
  <si>
    <t>$25,000 to $49,999</t>
  </si>
  <si>
    <t>$50,000 to $74,999</t>
  </si>
  <si>
    <t>$75,000 to $99,999</t>
  </si>
  <si>
    <t>Greater than $100,000</t>
  </si>
  <si>
    <t>All</t>
  </si>
  <si>
    <t>Trouble with $400</t>
  </si>
  <si>
    <t>Kept job</t>
  </si>
  <si>
    <t>Lost job</t>
  </si>
  <si>
    <t>Figure 4.Percentage of Households Ages 25-64 that Had Less Debt Than the Previous Year, 2018-2021</t>
  </si>
  <si>
    <r>
      <t xml:space="preserve">Table 11. </t>
    </r>
    <r>
      <rPr>
        <i/>
        <sz val="12"/>
        <color theme="1"/>
        <rFont val="Times New Roman"/>
        <family val="1"/>
      </rPr>
      <t>Annual Change in Wages During the Pandemic, by Net Wealth Quintile, Households Ages 25-64</t>
    </r>
  </si>
  <si>
    <t>Because of the pandemic, did [you / [REFERENCE PERSON]] [&gt;1 FU MEMBER: or someone in the family living there] lose any earnings?</t>
  </si>
  <si>
    <r>
      <t xml:space="preserve">Table X. </t>
    </r>
    <r>
      <rPr>
        <i/>
        <sz val="12"/>
        <color theme="1"/>
        <rFont val="Times New Roman"/>
        <family val="1"/>
      </rPr>
      <t>Fixed-effect Regression of Change in Net Wealth During the Pandemic, by Net Wealth Quintile, Households Ages 25-64</t>
    </r>
    <r>
      <rPr>
        <sz val="12"/>
        <color theme="1"/>
        <rFont val="Times New Roman"/>
        <family val="1"/>
      </rPr>
      <t>, No Income Decrease</t>
    </r>
  </si>
  <si>
    <r>
      <t xml:space="preserve">Table X. </t>
    </r>
    <r>
      <rPr>
        <i/>
        <sz val="12"/>
        <color theme="1"/>
        <rFont val="Times New Roman"/>
        <family val="1"/>
      </rPr>
      <t>Fixed-effect Regression of Change in Net Wealth During the Pandemic, by Net Wealth Quintile, Households Ages 25-64</t>
    </r>
    <r>
      <rPr>
        <sz val="12"/>
        <color theme="1"/>
        <rFont val="Times New Roman"/>
        <family val="1"/>
      </rPr>
      <t>, Income Decrease</t>
    </r>
  </si>
  <si>
    <r>
      <t xml:space="preserve">Table X. </t>
    </r>
    <r>
      <rPr>
        <sz val="8"/>
        <color theme="1"/>
        <rFont val="Times New Roman"/>
        <family val="1"/>
      </rPr>
      <t> </t>
    </r>
    <r>
      <rPr>
        <i/>
        <sz val="12"/>
        <color theme="1"/>
        <rFont val="Times New Roman"/>
        <family val="1"/>
      </rPr>
      <t>Fixed-effect Regression of Change in Net Wealth During the Pandemic, Removing the Effect of Pandemic Housing Boom, by Net Wealth Quintile, Households Ages 25-64</t>
    </r>
    <r>
      <rPr>
        <sz val="12"/>
        <color theme="1"/>
        <rFont val="Times New Roman"/>
        <family val="1"/>
      </rPr>
      <t>, No income Decrease</t>
    </r>
  </si>
  <si>
    <r>
      <t xml:space="preserve">Table X. </t>
    </r>
    <r>
      <rPr>
        <sz val="8"/>
        <color theme="1"/>
        <rFont val="Times New Roman"/>
        <family val="1"/>
      </rPr>
      <t> </t>
    </r>
    <r>
      <rPr>
        <i/>
        <sz val="12"/>
        <color theme="1"/>
        <rFont val="Times New Roman"/>
        <family val="1"/>
      </rPr>
      <t>Fixed-effect Regression of Change in Net Wealth During the Pandemic, Removing the Effect of Pandemic Asset Market Boom, by Net Wealth Quintile, Households Ages 25-64</t>
    </r>
    <r>
      <rPr>
        <sz val="12"/>
        <color theme="1"/>
        <rFont val="Times New Roman"/>
        <family val="1"/>
      </rPr>
      <t>, Income Decrease</t>
    </r>
  </si>
  <si>
    <r>
      <t xml:space="preserve">Table X. </t>
    </r>
    <r>
      <rPr>
        <sz val="8"/>
        <color theme="1"/>
        <rFont val="Times New Roman"/>
        <family val="1"/>
      </rPr>
      <t> </t>
    </r>
    <r>
      <rPr>
        <i/>
        <sz val="12"/>
        <color theme="1"/>
        <rFont val="Times New Roman"/>
        <family val="1"/>
      </rPr>
      <t>Fixed-effect Regression of Change in Net Wealth During the Pandemic, Removing the Effect of Pandemic Housing Boom, by Net Wealth Quintile, Households Ages 25-64</t>
    </r>
    <r>
      <rPr>
        <sz val="12"/>
        <color theme="1"/>
        <rFont val="Times New Roman"/>
        <family val="1"/>
      </rPr>
      <t>, Income Decrease</t>
    </r>
  </si>
  <si>
    <r>
      <t xml:space="preserve">Table X. </t>
    </r>
    <r>
      <rPr>
        <sz val="8"/>
        <color theme="1"/>
        <rFont val="Times New Roman"/>
        <family val="1"/>
      </rPr>
      <t> </t>
    </r>
    <r>
      <rPr>
        <i/>
        <sz val="12"/>
        <color theme="1"/>
        <rFont val="Times New Roman"/>
        <family val="1"/>
      </rPr>
      <t>Fixed-effect Regression of Change in Net Wealth During the Pandemic, Removing the Effect of Pandemic Asset Market Boom, by Net Wealth Quintile, Households Ages 25-64</t>
    </r>
    <r>
      <rPr>
        <sz val="12"/>
        <color theme="1"/>
        <rFont val="Times New Roman"/>
        <family val="1"/>
      </rPr>
      <t>, No Income Decrease</t>
    </r>
  </si>
  <si>
    <t>Question in 2021</t>
  </si>
  <si>
    <t>Total</t>
  </si>
  <si>
    <t>Wealth Tercile</t>
  </si>
  <si>
    <t>Percent with income decrease in 2021</t>
  </si>
  <si>
    <r>
      <t xml:space="preserve">Table X. </t>
    </r>
    <r>
      <rPr>
        <i/>
        <sz val="12"/>
        <color theme="1"/>
        <rFont val="Times New Roman"/>
        <family val="1"/>
      </rPr>
      <t>Per Quarter Change in Total Expenditures During the Pandemic, by Net Wealth Quintile, Households Ages 25-64</t>
    </r>
    <r>
      <rPr>
        <sz val="12"/>
        <color theme="1"/>
        <rFont val="Times New Roman"/>
        <family val="1"/>
      </rPr>
      <t>, No Income Decrease</t>
    </r>
  </si>
  <si>
    <r>
      <t xml:space="preserve">Table X. </t>
    </r>
    <r>
      <rPr>
        <i/>
        <sz val="12"/>
        <color theme="1"/>
        <rFont val="Times New Roman"/>
        <family val="1"/>
      </rPr>
      <t>Per Quarter Change in Total Expenditures During the Pandemic, by Net Wealth Quintile, Households Ages 25-64</t>
    </r>
    <r>
      <rPr>
        <sz val="12"/>
        <color theme="1"/>
        <rFont val="Times New Roman"/>
        <family val="1"/>
      </rPr>
      <t>, Income Decrease</t>
    </r>
  </si>
  <si>
    <t>1st EIP</t>
  </si>
  <si>
    <t>2nd EIP</t>
  </si>
  <si>
    <t>3rd EIP</t>
  </si>
  <si>
    <t>Kept Job</t>
  </si>
  <si>
    <t>Lost Job</t>
  </si>
  <si>
    <t>Save</t>
  </si>
  <si>
    <t>Pay Debt</t>
  </si>
  <si>
    <t>Spend</t>
  </si>
  <si>
    <t>Other</t>
  </si>
  <si>
    <r>
      <t xml:space="preserve">Source: </t>
    </r>
    <r>
      <rPr>
        <sz val="10"/>
        <color theme="1"/>
        <rFont val="Times New Roman"/>
        <family val="1"/>
      </rPr>
      <t xml:space="preserve">U.S. Board of Governors of the Federal Reserve System, </t>
    </r>
    <r>
      <rPr>
        <i/>
        <sz val="10"/>
        <color theme="1"/>
        <rFont val="Times New Roman"/>
        <family val="1"/>
      </rPr>
      <t xml:space="preserve">Survey of Consumer Finances </t>
    </r>
    <r>
      <rPr>
        <sz val="10"/>
        <color theme="1"/>
        <rFont val="Times New Roman"/>
        <family val="1"/>
      </rPr>
      <t>(SCF) (2019).</t>
    </r>
  </si>
  <si>
    <t>&lt; $400 in cash</t>
  </si>
  <si>
    <t xml:space="preserve"> &lt; $400 after paying off credit card</t>
  </si>
  <si>
    <t>Note: SCF data include households that would have trouble
covering an unexpected $400 expense after accounting for
their outstanding credit card debt.</t>
  </si>
  <si>
    <t>SCF</t>
  </si>
  <si>
    <t>SHED</t>
  </si>
  <si>
    <r>
      <t xml:space="preserve">Figure 1. </t>
    </r>
    <r>
      <rPr>
        <i/>
        <sz val="12"/>
        <color theme="1"/>
        <rFont val="Times New Roman"/>
        <family val="1"/>
      </rPr>
      <t>Percentage of Households Ages 25-64 that Have Trouble Covering a $400 Emergency Expense Before and After First EIP Check, by Job Status, 2018-2021</t>
    </r>
  </si>
  <si>
    <r>
      <t xml:space="preserve">Figure 2. </t>
    </r>
    <r>
      <rPr>
        <i/>
        <sz val="12"/>
        <color theme="1"/>
        <rFont val="Times New Roman"/>
        <family val="1"/>
      </rPr>
      <t>How Households Used Any of Their EIP, by Job Status</t>
    </r>
  </si>
  <si>
    <r>
      <t xml:space="preserve">Source: </t>
    </r>
    <r>
      <rPr>
        <sz val="10"/>
        <color theme="1"/>
        <rFont val="Times New Roman"/>
        <family val="1"/>
      </rPr>
      <t xml:space="preserve">U.S. Census Bureau, </t>
    </r>
    <r>
      <rPr>
        <i/>
        <sz val="10"/>
        <color theme="1"/>
        <rFont val="Times New Roman"/>
        <family val="1"/>
      </rPr>
      <t>Survey of Household Economic Decisionmaking</t>
    </r>
    <r>
      <rPr>
        <sz val="10"/>
        <color theme="1"/>
        <rFont val="Times New Roman"/>
        <family val="1"/>
      </rPr>
      <t xml:space="preserve"> (SHED) (2018-2021).</t>
    </r>
  </si>
  <si>
    <r>
      <t xml:space="preserve">Sources: </t>
    </r>
    <r>
      <rPr>
        <sz val="10"/>
        <color theme="1"/>
        <rFont val="Times New Roman"/>
        <family val="1"/>
      </rPr>
      <t xml:space="preserve">U.S. Board of Governors of the Federal Reserve System. </t>
    </r>
    <r>
      <rPr>
        <i/>
        <sz val="10"/>
        <color theme="1"/>
        <rFont val="Times New Roman"/>
        <family val="1"/>
      </rPr>
      <t>Survey of Household Economics and Decisionmaking</t>
    </r>
    <r>
      <rPr>
        <sz val="10"/>
        <color theme="1"/>
        <rFont val="Times New Roman"/>
        <family val="1"/>
      </rPr>
      <t xml:space="preserve"> (2019) and SCF (2019).</t>
    </r>
  </si>
  <si>
    <r>
      <t xml:space="preserve">Box Figure 1. </t>
    </r>
    <r>
      <rPr>
        <i/>
        <sz val="12"/>
        <color theme="1"/>
        <rFont val="Times New Roman"/>
        <family val="1"/>
      </rPr>
      <t>SCF Households Ages 25-64 by Checking/Savings and Unpaid Credit Card Balance, 2019</t>
    </r>
  </si>
  <si>
    <r>
      <t xml:space="preserve">Box Figure 2. </t>
    </r>
    <r>
      <rPr>
        <i/>
        <sz val="12"/>
        <color theme="1"/>
        <rFont val="Times New Roman"/>
        <family val="1"/>
      </rPr>
      <t>Percentage of Households Ages 25-64 that Have Trouble Covering a $400 Emergency Expense, by Income, 2019</t>
    </r>
  </si>
  <si>
    <r>
      <t xml:space="preserve">Source: </t>
    </r>
    <r>
      <rPr>
        <sz val="10"/>
        <color rgb="FF000000"/>
        <rFont val="Times New Roman"/>
        <family val="1"/>
      </rPr>
      <t xml:space="preserve">U.S. Census Bureau, </t>
    </r>
    <r>
      <rPr>
        <i/>
        <sz val="10"/>
        <color rgb="FF000000"/>
        <rFont val="Times New Roman"/>
        <family val="1"/>
      </rPr>
      <t>Household Pulse Survey</t>
    </r>
    <r>
      <rPr>
        <sz val="10"/>
        <color rgb="FF000000"/>
        <rFont val="Times New Roman"/>
        <family val="1"/>
      </rPr>
      <t xml:space="preserve"> (HPS)</t>
    </r>
    <r>
      <rPr>
        <i/>
        <sz val="10"/>
        <color rgb="FF00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(2020-2021).</t>
    </r>
  </si>
  <si>
    <r>
      <t xml:space="preserve">Figure 3. </t>
    </r>
    <r>
      <rPr>
        <i/>
        <sz val="12"/>
        <color rgb="FF000000"/>
        <rFont val="Times New Roman"/>
        <family val="1"/>
      </rPr>
      <t>Percentage of SHED Households Ages 25-64 Reporting that They Could Not Cover a $400 Unexpected Expense, by Income, 2019 and 2021</t>
    </r>
  </si>
  <si>
    <r>
      <t xml:space="preserve">Source: </t>
    </r>
    <r>
      <rPr>
        <sz val="10"/>
        <color theme="1"/>
        <rFont val="Times New Roman"/>
        <family val="1"/>
      </rPr>
      <t>SHED (2019-2021).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</si>
</sst>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7" formatCode="##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10"/>
      <name val="Calibri"/>
      <family val="2"/>
    </font>
    <font>
      <i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i/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i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1" fillId="0" borderId="0"/>
    <xf numFmtId="0" fontId="13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6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9" fontId="2" fillId="0" borderId="2" xfId="1" applyFont="1" applyBorder="1" applyAlignment="1">
      <alignment horizontal="center"/>
    </xf>
    <xf numFmtId="9" fontId="2" fillId="0" borderId="0" xfId="1" applyFont="1" applyBorder="1" applyAlignment="1">
      <alignment horizontal="center"/>
    </xf>
    <xf numFmtId="0" fontId="2" fillId="0" borderId="1" xfId="0" applyFont="1" applyFill="1" applyBorder="1"/>
    <xf numFmtId="9" fontId="2" fillId="0" borderId="1" xfId="1" applyFont="1" applyBorder="1" applyAlignment="1">
      <alignment horizontal="center"/>
    </xf>
    <xf numFmtId="17" fontId="0" fillId="0" borderId="0" xfId="0" applyNumberFormat="1"/>
    <xf numFmtId="0" fontId="0" fillId="0" borderId="0" xfId="0" applyAlignment="1">
      <alignment wrapText="1"/>
    </xf>
    <xf numFmtId="9" fontId="0" fillId="0" borderId="0" xfId="1" applyNumberFormat="1" applyFont="1"/>
    <xf numFmtId="9" fontId="0" fillId="0" borderId="0" xfId="1" applyNumberFormat="1" applyFont="1" applyFill="1"/>
    <xf numFmtId="164" fontId="0" fillId="0" borderId="0" xfId="1" applyNumberFormat="1" applyFont="1" applyFill="1"/>
    <xf numFmtId="9" fontId="0" fillId="0" borderId="0" xfId="0" applyNumberFormat="1"/>
    <xf numFmtId="0" fontId="0" fillId="0" borderId="0" xfId="0" applyFill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9" fontId="2" fillId="0" borderId="0" xfId="1" applyNumberFormat="1" applyFont="1" applyBorder="1" applyAlignment="1">
      <alignment horizontal="center"/>
    </xf>
    <xf numFmtId="9" fontId="2" fillId="0" borderId="3" xfId="1" applyNumberFormat="1" applyFont="1" applyBorder="1" applyAlignment="1">
      <alignment horizontal="center"/>
    </xf>
    <xf numFmtId="9" fontId="2" fillId="0" borderId="3" xfId="1" applyNumberFormat="1" applyFont="1" applyFill="1" applyBorder="1" applyAlignment="1">
      <alignment horizontal="center"/>
    </xf>
    <xf numFmtId="0" fontId="2" fillId="0" borderId="0" xfId="0" applyFont="1" applyFill="1"/>
    <xf numFmtId="17" fontId="0" fillId="0" borderId="0" xfId="0" applyNumberFormat="1" applyFill="1"/>
    <xf numFmtId="0" fontId="2" fillId="0" borderId="1" xfId="0" applyFont="1" applyBorder="1" applyAlignment="1">
      <alignment horizontal="center" wrapText="1"/>
    </xf>
    <xf numFmtId="9" fontId="2" fillId="0" borderId="3" xfId="0" applyNumberFormat="1" applyFont="1" applyBorder="1" applyAlignment="1">
      <alignment horizontal="center"/>
    </xf>
    <xf numFmtId="9" fontId="3" fillId="0" borderId="4" xfId="1" applyFont="1" applyBorder="1"/>
    <xf numFmtId="9" fontId="3" fillId="0" borderId="0" xfId="1" applyFont="1" applyBorder="1"/>
    <xf numFmtId="9" fontId="3" fillId="0" borderId="5" xfId="1" applyFont="1" applyBorder="1"/>
    <xf numFmtId="9" fontId="3" fillId="0" borderId="1" xfId="1" applyFont="1" applyBorder="1"/>
    <xf numFmtId="0" fontId="3" fillId="0" borderId="4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11" fillId="0" borderId="0" xfId="3"/>
    <xf numFmtId="0" fontId="1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/>
    </xf>
    <xf numFmtId="0" fontId="6" fillId="0" borderId="0" xfId="0" applyFont="1" applyAlignment="1"/>
    <xf numFmtId="0" fontId="2" fillId="0" borderId="4" xfId="0" applyFont="1" applyBorder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9" fontId="2" fillId="0" borderId="4" xfId="1" applyFont="1" applyBorder="1" applyAlignment="1">
      <alignment horizontal="center"/>
    </xf>
    <xf numFmtId="0" fontId="11" fillId="0" borderId="0" xfId="3" applyFont="1" applyAlignment="1">
      <alignment horizontal="center"/>
    </xf>
    <xf numFmtId="0" fontId="11" fillId="0" borderId="0" xfId="3" applyAlignment="1">
      <alignment horizontal="center"/>
    </xf>
    <xf numFmtId="0" fontId="0" fillId="0" borderId="0" xfId="0" applyAlignment="1">
      <alignment horizontal="center"/>
    </xf>
    <xf numFmtId="9" fontId="2" fillId="0" borderId="5" xfId="1" applyNumberFormat="1" applyFont="1" applyBorder="1" applyAlignment="1">
      <alignment horizontal="center"/>
    </xf>
    <xf numFmtId="0" fontId="13" fillId="0" borderId="0" xfId="4"/>
    <xf numFmtId="167" fontId="10" fillId="0" borderId="0" xfId="3" applyNumberFormat="1" applyFont="1" applyFill="1" applyBorder="1" applyAlignment="1" applyProtection="1">
      <alignment horizontal="center"/>
    </xf>
    <xf numFmtId="0" fontId="10" fillId="0" borderId="4" xfId="3" applyFont="1" applyBorder="1"/>
    <xf numFmtId="0" fontId="10" fillId="0" borderId="0" xfId="3" applyFont="1" applyBorder="1"/>
    <xf numFmtId="0" fontId="10" fillId="0" borderId="5" xfId="3" applyFont="1" applyBorder="1"/>
    <xf numFmtId="167" fontId="10" fillId="0" borderId="5" xfId="3" applyNumberFormat="1" applyFont="1" applyFill="1" applyBorder="1" applyAlignment="1" applyProtection="1">
      <alignment horizontal="center"/>
    </xf>
    <xf numFmtId="0" fontId="10" fillId="0" borderId="1" xfId="3" applyFont="1" applyBorder="1" applyAlignment="1">
      <alignment horizontal="center"/>
    </xf>
    <xf numFmtId="0" fontId="10" fillId="0" borderId="5" xfId="3" applyFont="1" applyBorder="1" applyAlignment="1">
      <alignment horizontal="center"/>
    </xf>
  </cellXfs>
  <cellStyles count="5">
    <cellStyle name="Hyperlink" xfId="4" builtinId="8"/>
    <cellStyle name="Normal" xfId="0" builtinId="0"/>
    <cellStyle name="Normal 2" xfId="2" xr:uid="{00000000-0005-0000-0000-000003000000}"/>
    <cellStyle name="Normal 3" xfId="3" xr:uid="{00000000-0005-0000-0000-000004000000}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05564401315586"/>
          <c:y val="3.0641027466503396E-2"/>
          <c:w val="0.67222222222222228"/>
          <c:h val="0.96031746031746035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99-49AD-BAE2-873494344532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99-49AD-BAE2-873494344532}"/>
              </c:ext>
            </c:extLst>
          </c:dPt>
          <c:dPt>
            <c:idx val="2"/>
            <c:bubble3D val="0"/>
            <c:spPr>
              <a:solidFill>
                <a:sysClr val="window" lastClr="FFFF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99-49AD-BAE2-873494344532}"/>
              </c:ext>
            </c:extLst>
          </c:dPt>
          <c:dLbls>
            <c:dLbl>
              <c:idx val="0"/>
              <c:layout>
                <c:manualLayout>
                  <c:x val="-7.6515638670166336E-2"/>
                  <c:y val="8.3881702287214102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3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&lt; $400 in cash</a:t>
                    </a:r>
                    <a:r>
                      <a:rPr lang="en-US" sz="1200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</a:p>
                  <a:p>
                    <a:pPr>
                      <a:defRPr sz="1300"/>
                    </a:pPr>
                    <a:fld id="{2A3243C5-7459-4F91-82CF-2CB02015A74F}" type="VALUE">
                      <a:rPr lang="en-US" sz="1200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 sz="1300"/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3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101115485564299"/>
                      <c:h val="0.1571428571428571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799-49AD-BAE2-873494344532}"/>
                </c:ext>
              </c:extLst>
            </c:dLbl>
            <c:dLbl>
              <c:idx val="1"/>
              <c:layout>
                <c:manualLayout>
                  <c:x val="-1.3245844269467336E-3"/>
                  <c:y val="-6.448881389826272E-3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&lt; $400 after paying</a:t>
                    </a:r>
                    <a:r>
                      <a:rPr lang="en-US" sz="1200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off </a:t>
                    </a:r>
                  </a:p>
                  <a:p>
                    <a:r>
                      <a:rPr lang="en-US" sz="1200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credit card, </a:t>
                    </a:r>
                  </a:p>
                  <a:p>
                    <a:fld id="{DD82FD22-D7A6-49AC-BA54-7ADBAE4198D2}" type="VALUE">
                      <a:rPr lang="en-US" sz="1200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29330708661416"/>
                      <c:h val="0.2825396825396825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799-49AD-BAE2-873494344532}"/>
                </c:ext>
              </c:extLst>
            </c:dLbl>
            <c:dLbl>
              <c:idx val="2"/>
              <c:layout>
                <c:manualLayout>
                  <c:x val="-2.7956036745406823E-2"/>
                  <c:y val="-0.24577896512935882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</a:t>
                    </a:r>
                    <a:r>
                      <a:rPr lang="en-US" sz="1200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</a:p>
                  <a:p>
                    <a:fld id="{274DC8A4-5607-43E2-BACC-EEBD28E53A85}" type="VALUE">
                      <a:rPr lang="en-US" sz="1200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799-49AD-BAE2-8734943445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'Box Figure 1'!$A$24:$C$24</c:f>
              <c:strCache>
                <c:ptCount val="3"/>
                <c:pt idx="0">
                  <c:v>&lt; $400 in cash</c:v>
                </c:pt>
                <c:pt idx="1">
                  <c:v> &lt; $400 after paying off credit card</c:v>
                </c:pt>
                <c:pt idx="2">
                  <c:v>Other</c:v>
                </c:pt>
              </c:strCache>
            </c:strRef>
          </c:cat>
          <c:val>
            <c:numRef>
              <c:f>'Box Figure 1'!$A$25:$C$25</c:f>
              <c:numCache>
                <c:formatCode>0%</c:formatCode>
                <c:ptCount val="3"/>
                <c:pt idx="0">
                  <c:v>0.17797102412193089</c:v>
                </c:pt>
                <c:pt idx="1">
                  <c:v>0.17810033753923049</c:v>
                </c:pt>
                <c:pt idx="2">
                  <c:v>0.64392863833883862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99-49AD-BAE2-873494344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018372703412"/>
          <c:y val="2.6359205099362581E-2"/>
          <c:w val="0.88971981627296592"/>
          <c:h val="0.772313160109743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'Box Figure 2'!$B$25</c:f>
              <c:strCache>
                <c:ptCount val="1"/>
                <c:pt idx="0">
                  <c:v>SHED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58BD-4EE5-AF1C-20F4C056D38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58BD-4EE5-AF1C-20F4C056D387}"/>
              </c:ext>
            </c:extLst>
          </c:dPt>
          <c:dLbls>
            <c:dLbl>
              <c:idx val="3"/>
              <c:layout>
                <c:manualLayout>
                  <c:x val="-1.6679015484979746E-2"/>
                  <c:y val="1.1453880764904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996939831296145E-2"/>
                      <c:h val="6.057836520434945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8-58BD-4EE5-AF1C-20F4C056D387}"/>
                </c:ext>
              </c:extLst>
            </c:dLbl>
            <c:dLbl>
              <c:idx val="4"/>
              <c:layout>
                <c:manualLayout>
                  <c:x val="-1.1111111111111212E-2"/>
                  <c:y val="7.57575757575750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8BD-4EE5-AF1C-20F4C056D3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'Box Figure 2'!$B$26:$B$31</c:f>
              <c:numCache>
                <c:formatCode>0%</c:formatCode>
                <c:ptCount val="6"/>
                <c:pt idx="0">
                  <c:v>0.71</c:v>
                </c:pt>
                <c:pt idx="1">
                  <c:v>0.57999999999999996</c:v>
                </c:pt>
                <c:pt idx="2">
                  <c:v>0.42</c:v>
                </c:pt>
                <c:pt idx="3">
                  <c:v>0.3</c:v>
                </c:pt>
                <c:pt idx="4">
                  <c:v>0.14000000000000001</c:v>
                </c:pt>
                <c:pt idx="5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58BD-4EE5-AF1C-20F4C056D387}"/>
            </c:ext>
          </c:extLst>
        </c:ser>
        <c:ser>
          <c:idx val="0"/>
          <c:order val="1"/>
          <c:tx>
            <c:strRef>
              <c:f>'Box Figure 2'!$C$25</c:f>
              <c:strCache>
                <c:ptCount val="1"/>
                <c:pt idx="0">
                  <c:v>SCF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58BD-4EE5-AF1C-20F4C056D387}"/>
              </c:ext>
            </c:extLst>
          </c:dPt>
          <c:dLbls>
            <c:dLbl>
              <c:idx val="0"/>
              <c:layout>
                <c:manualLayout>
                  <c:x val="1.388888888888888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8BD-4EE5-AF1C-20F4C056D387}"/>
                </c:ext>
              </c:extLst>
            </c:dLbl>
            <c:dLbl>
              <c:idx val="1"/>
              <c:layout>
                <c:manualLayout>
                  <c:x val="1.1111111111111059E-2"/>
                  <c:y val="3.7878787878787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8BD-4EE5-AF1C-20F4C056D387}"/>
                </c:ext>
              </c:extLst>
            </c:dLbl>
            <c:dLbl>
              <c:idx val="2"/>
              <c:layout>
                <c:manualLayout>
                  <c:x val="8.3333333333333332E-3"/>
                  <c:y val="1.1363636363636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8BD-4EE5-AF1C-20F4C056D387}"/>
                </c:ext>
              </c:extLst>
            </c:dLbl>
            <c:dLbl>
              <c:idx val="3"/>
              <c:layout>
                <c:manualLayout>
                  <c:x val="1.3895051119723518E-2"/>
                  <c:y val="1.5331833520809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8BD-4EE5-AF1C-20F4C056D387}"/>
                </c:ext>
              </c:extLst>
            </c:dLbl>
            <c:dLbl>
              <c:idx val="4"/>
              <c:layout>
                <c:manualLayout>
                  <c:x val="1.38888888888887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8BD-4EE5-AF1C-20F4C056D387}"/>
                </c:ext>
              </c:extLst>
            </c:dLbl>
            <c:dLbl>
              <c:idx val="5"/>
              <c:layout>
                <c:manualLayout>
                  <c:x val="8.3333333333332309E-3"/>
                  <c:y val="1.893939393939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8BD-4EE5-AF1C-20F4C056D3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'Box Figure 2'!$A$26:$A$31</c:f>
              <c:strCache>
                <c:ptCount val="6"/>
                <c:pt idx="0">
                  <c:v>$0 to $24,999</c:v>
                </c:pt>
                <c:pt idx="1">
                  <c:v>$25,000 to $49,999</c:v>
                </c:pt>
                <c:pt idx="2">
                  <c:v>$50,000 to $74,999</c:v>
                </c:pt>
                <c:pt idx="3">
                  <c:v>$75,000 to $99,999</c:v>
                </c:pt>
                <c:pt idx="4">
                  <c:v>Greater than $100,000</c:v>
                </c:pt>
                <c:pt idx="5">
                  <c:v>All</c:v>
                </c:pt>
              </c:strCache>
            </c:strRef>
          </c:cat>
          <c:val>
            <c:numRef>
              <c:f>'Box Figure 2'!$C$26:$C$31</c:f>
              <c:numCache>
                <c:formatCode>0%</c:formatCode>
                <c:ptCount val="6"/>
                <c:pt idx="0">
                  <c:v>0.67511588335037231</c:v>
                </c:pt>
                <c:pt idx="1">
                  <c:v>0.5</c:v>
                </c:pt>
                <c:pt idx="2">
                  <c:v>0.36639779806137079</c:v>
                </c:pt>
                <c:pt idx="3">
                  <c:v>0.3</c:v>
                </c:pt>
                <c:pt idx="4">
                  <c:v>0.1576593071222305</c:v>
                </c:pt>
                <c:pt idx="5">
                  <c:v>0.36091139999999999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58BD-4EE5-AF1C-20F4C056D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6863040"/>
        <c:axId val="446863368"/>
      </c:barChart>
      <c:catAx>
        <c:axId val="44686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46863368"/>
        <c:crosses val="autoZero"/>
        <c:auto val="1"/>
        <c:lblAlgn val="ctr"/>
        <c:lblOffset val="100"/>
        <c:noMultiLvlLbl val="0"/>
      </c:catAx>
      <c:valAx>
        <c:axId val="44686336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46863040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13359580052493442"/>
          <c:y val="4.6622922134733152E-2"/>
          <c:w val="0.23584864391951005"/>
          <c:h val="6.9452568428946385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801034350933228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1'!$A$26</c:f>
              <c:strCache>
                <c:ptCount val="1"/>
                <c:pt idx="0">
                  <c:v>Kept job</c:v>
                </c:pt>
              </c:strCache>
            </c:strRef>
          </c:tx>
          <c:spPr>
            <a:pattFill prst="wdDn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1C-4358-86F0-AFB849021D39}"/>
              </c:ext>
            </c:extLst>
          </c:dPt>
          <c:dPt>
            <c:idx val="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1C-4358-86F0-AFB849021D39}"/>
              </c:ext>
            </c:extLst>
          </c:dPt>
          <c:dPt>
            <c:idx val="5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1C-4358-86F0-AFB849021D39}"/>
              </c:ext>
            </c:extLst>
          </c:dPt>
          <c:dLbls>
            <c:dLbl>
              <c:idx val="4"/>
              <c:layout>
                <c:manualLayout>
                  <c:x val="-5.5555555555556572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1C-4358-86F0-AFB849021D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1'!$B$25:$G$25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 formatCode="mmm\-yy">
                  <c:v>43941</c:v>
                </c:pt>
                <c:pt idx="3" formatCode="mmm\-yy">
                  <c:v>44032</c:v>
                </c:pt>
                <c:pt idx="4" formatCode="mmm\-yy">
                  <c:v>44155</c:v>
                </c:pt>
                <c:pt idx="5">
                  <c:v>2021</c:v>
                </c:pt>
              </c:numCache>
            </c:numRef>
          </c:cat>
          <c:val>
            <c:numRef>
              <c:f>'Figure 1'!$B$26:$G$26</c:f>
              <c:numCache>
                <c:formatCode>0%</c:formatCode>
                <c:ptCount val="6"/>
                <c:pt idx="0">
                  <c:v>0.41</c:v>
                </c:pt>
                <c:pt idx="1">
                  <c:v>0.41</c:v>
                </c:pt>
                <c:pt idx="2">
                  <c:v>0.3257949</c:v>
                </c:pt>
                <c:pt idx="3">
                  <c:v>0.30657289999999998</c:v>
                </c:pt>
                <c:pt idx="4">
                  <c:v>0.37215169999999997</c:v>
                </c:pt>
                <c:pt idx="5">
                  <c:v>0.36322559999999998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D1C-4358-86F0-AFB849021D39}"/>
            </c:ext>
          </c:extLst>
        </c:ser>
        <c:ser>
          <c:idx val="1"/>
          <c:order val="1"/>
          <c:tx>
            <c:strRef>
              <c:f>'Figure 1'!$A$27</c:f>
              <c:strCache>
                <c:ptCount val="1"/>
                <c:pt idx="0">
                  <c:v>Lost job</c:v>
                </c:pt>
              </c:strCache>
            </c:strRef>
          </c:tx>
          <c:spPr>
            <a:pattFill prst="wdDn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1'!$B$25:$G$25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 formatCode="mmm\-yy">
                  <c:v>43941</c:v>
                </c:pt>
                <c:pt idx="3" formatCode="mmm\-yy">
                  <c:v>44032</c:v>
                </c:pt>
                <c:pt idx="4" formatCode="mmm\-yy">
                  <c:v>44155</c:v>
                </c:pt>
                <c:pt idx="5">
                  <c:v>2021</c:v>
                </c:pt>
              </c:numCache>
            </c:numRef>
          </c:cat>
          <c:val>
            <c:numRef>
              <c:f>'Figure 1'!$B$27:$G$27</c:f>
              <c:numCache>
                <c:formatCode>0%</c:formatCode>
                <c:ptCount val="6"/>
                <c:pt idx="2">
                  <c:v>0.51406410000000002</c:v>
                </c:pt>
                <c:pt idx="3">
                  <c:v>0.3634307</c:v>
                </c:pt>
                <c:pt idx="4">
                  <c:v>0.54704980000000003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1C-4358-86F0-AFB849021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1314559"/>
        <c:axId val="1722598175"/>
      </c:barChart>
      <c:catAx>
        <c:axId val="1721314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22598175"/>
        <c:crosses val="autoZero"/>
        <c:auto val="1"/>
        <c:lblAlgn val="ctr"/>
        <c:lblOffset val="100"/>
        <c:noMultiLvlLbl val="0"/>
      </c:catAx>
      <c:valAx>
        <c:axId val="1722598175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21314559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13345516185476816"/>
          <c:y val="5.482845894263217E-2"/>
          <c:w val="0.1925645231846019"/>
          <c:h val="0.13306836645419323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4903762029746"/>
          <c:y val="0.1017660292463442"/>
          <c:w val="0.89855096237970256"/>
          <c:h val="0.730218097737782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2'!$A$30</c:f>
              <c:strCache>
                <c:ptCount val="1"/>
                <c:pt idx="0">
                  <c:v>Save</c:v>
                </c:pt>
              </c:strCache>
            </c:strRef>
          </c:tx>
          <c:spPr>
            <a:solidFill>
              <a:srgbClr val="DBBFB4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'Figure 2'!$B$28:$G$29</c:f>
              <c:multiLvlStrCache>
                <c:ptCount val="6"/>
                <c:lvl>
                  <c:pt idx="0">
                    <c:v>Kept Job</c:v>
                  </c:pt>
                  <c:pt idx="1">
                    <c:v>Lost Job</c:v>
                  </c:pt>
                  <c:pt idx="2">
                    <c:v>Kept Job</c:v>
                  </c:pt>
                  <c:pt idx="3">
                    <c:v>Lost Job</c:v>
                  </c:pt>
                  <c:pt idx="4">
                    <c:v>Kept Job</c:v>
                  </c:pt>
                  <c:pt idx="5">
                    <c:v>Lost Job</c:v>
                  </c:pt>
                </c:lvl>
                <c:lvl>
                  <c:pt idx="0">
                    <c:v>1st EIP</c:v>
                  </c:pt>
                  <c:pt idx="2">
                    <c:v>2nd EIP</c:v>
                  </c:pt>
                  <c:pt idx="4">
                    <c:v>3rd EIP</c:v>
                  </c:pt>
                </c:lvl>
              </c:multiLvlStrCache>
            </c:multiLvlStrRef>
          </c:cat>
          <c:val>
            <c:numRef>
              <c:f>'Figure 2'!$B$30:$G$30</c:f>
              <c:numCache>
                <c:formatCode>##%</c:formatCode>
                <c:ptCount val="6"/>
                <c:pt idx="0">
                  <c:v>0.19289281947302545</c:v>
                </c:pt>
                <c:pt idx="1">
                  <c:v>5.8221087113942395E-2</c:v>
                </c:pt>
                <c:pt idx="2">
                  <c:v>0.29456394765495342</c:v>
                </c:pt>
                <c:pt idx="3">
                  <c:v>0.15625643349117568</c:v>
                </c:pt>
                <c:pt idx="4">
                  <c:v>0.32385785630364738</c:v>
                </c:pt>
                <c:pt idx="5">
                  <c:v>0.19379230242412168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09-9F44-A42D-2878BE880F41}"/>
            </c:ext>
          </c:extLst>
        </c:ser>
        <c:ser>
          <c:idx val="1"/>
          <c:order val="1"/>
          <c:tx>
            <c:strRef>
              <c:f>'Figure 2'!$A$31</c:f>
              <c:strCache>
                <c:ptCount val="1"/>
                <c:pt idx="0">
                  <c:v>Pay Debt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'Figure 2'!$B$28:$G$29</c:f>
              <c:multiLvlStrCache>
                <c:ptCount val="6"/>
                <c:lvl>
                  <c:pt idx="0">
                    <c:v>Kept Job</c:v>
                  </c:pt>
                  <c:pt idx="1">
                    <c:v>Lost Job</c:v>
                  </c:pt>
                  <c:pt idx="2">
                    <c:v>Kept Job</c:v>
                  </c:pt>
                  <c:pt idx="3">
                    <c:v>Lost Job</c:v>
                  </c:pt>
                  <c:pt idx="4">
                    <c:v>Kept Job</c:v>
                  </c:pt>
                  <c:pt idx="5">
                    <c:v>Lost Job</c:v>
                  </c:pt>
                </c:lvl>
                <c:lvl>
                  <c:pt idx="0">
                    <c:v>1st EIP</c:v>
                  </c:pt>
                  <c:pt idx="2">
                    <c:v>2nd EIP</c:v>
                  </c:pt>
                  <c:pt idx="4">
                    <c:v>3rd EIP</c:v>
                  </c:pt>
                </c:lvl>
              </c:multiLvlStrCache>
            </c:multiLvlStrRef>
          </c:cat>
          <c:val>
            <c:numRef>
              <c:f>'Figure 2'!$B$31:$G$31</c:f>
              <c:numCache>
                <c:formatCode>##%</c:formatCode>
                <c:ptCount val="6"/>
                <c:pt idx="0">
                  <c:v>0.19866677500017729</c:v>
                </c:pt>
                <c:pt idx="1">
                  <c:v>0.13680809460288842</c:v>
                </c:pt>
                <c:pt idx="2">
                  <c:v>0.4483050026132161</c:v>
                </c:pt>
                <c:pt idx="3">
                  <c:v>0.61399798081041201</c:v>
                </c:pt>
                <c:pt idx="4">
                  <c:v>0.47001153570414472</c:v>
                </c:pt>
                <c:pt idx="5">
                  <c:v>0.62374966183602509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09-9F44-A42D-2878BE880F41}"/>
            </c:ext>
          </c:extLst>
        </c:ser>
        <c:ser>
          <c:idx val="2"/>
          <c:order val="2"/>
          <c:tx>
            <c:strRef>
              <c:f>'Figure 2'!$A$32</c:f>
              <c:strCache>
                <c:ptCount val="1"/>
                <c:pt idx="0">
                  <c:v>Spend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'Figure 2'!$B$28:$G$29</c:f>
              <c:multiLvlStrCache>
                <c:ptCount val="6"/>
                <c:lvl>
                  <c:pt idx="0">
                    <c:v>Kept Job</c:v>
                  </c:pt>
                  <c:pt idx="1">
                    <c:v>Lost Job</c:v>
                  </c:pt>
                  <c:pt idx="2">
                    <c:v>Kept Job</c:v>
                  </c:pt>
                  <c:pt idx="3">
                    <c:v>Lost Job</c:v>
                  </c:pt>
                  <c:pt idx="4">
                    <c:v>Kept Job</c:v>
                  </c:pt>
                  <c:pt idx="5">
                    <c:v>Lost Job</c:v>
                  </c:pt>
                </c:lvl>
                <c:lvl>
                  <c:pt idx="0">
                    <c:v>1st EIP</c:v>
                  </c:pt>
                  <c:pt idx="2">
                    <c:v>2nd EIP</c:v>
                  </c:pt>
                  <c:pt idx="4">
                    <c:v>3rd EIP</c:v>
                  </c:pt>
                </c:lvl>
              </c:multiLvlStrCache>
            </c:multiLvlStrRef>
          </c:cat>
          <c:val>
            <c:numRef>
              <c:f>'Figure 2'!$B$32:$G$32</c:f>
              <c:numCache>
                <c:formatCode>##%</c:formatCode>
                <c:ptCount val="6"/>
                <c:pt idx="0">
                  <c:v>0.60844040552679723</c:v>
                </c:pt>
                <c:pt idx="1">
                  <c:v>0.80497081828316919</c:v>
                </c:pt>
                <c:pt idx="2">
                  <c:v>0.25713104973183049</c:v>
                </c:pt>
                <c:pt idx="3">
                  <c:v>0.22974558569841233</c:v>
                </c:pt>
                <c:pt idx="4">
                  <c:v>0.20613060799220786</c:v>
                </c:pt>
                <c:pt idx="5">
                  <c:v>0.18245803573985328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B09-9F44-A42D-2878BE880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1710974160"/>
        <c:axId val="1"/>
      </c:barChart>
      <c:catAx>
        <c:axId val="171097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#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10974160"/>
        <c:crosses val="autoZero"/>
        <c:crossBetween val="between"/>
        <c:majorUnit val="0.2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524442257217848"/>
          <c:y val="3.3448943882014746E-3"/>
          <c:w val="0.4034448818897638"/>
          <c:h val="7.6020184976877889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018372703412"/>
          <c:y val="2.6359205099362581E-2"/>
          <c:w val="0.88971981627296592"/>
          <c:h val="0.78125296837895264"/>
        </c:manualLayout>
      </c:layout>
      <c:barChart>
        <c:barDir val="col"/>
        <c:grouping val="clustered"/>
        <c:varyColors val="0"/>
        <c:ser>
          <c:idx val="1"/>
          <c:order val="0"/>
          <c:tx>
            <c:v>2019</c:v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60A-F547-9FB4-BE6F8C0999C0}"/>
              </c:ext>
            </c:extLst>
          </c:dPt>
          <c:dLbls>
            <c:dLbl>
              <c:idx val="0"/>
              <c:layout>
                <c:manualLayout>
                  <c:x val="-9.2592592592592596E-4"/>
                  <c:y val="-4.4956880389951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0A-F547-9FB4-BE6F8C0999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3'!$A$25:$A$30</c:f>
              <c:strCache>
                <c:ptCount val="6"/>
                <c:pt idx="0">
                  <c:v>$0 to $24,999</c:v>
                </c:pt>
                <c:pt idx="1">
                  <c:v>$25,000 to $49,999</c:v>
                </c:pt>
                <c:pt idx="2">
                  <c:v>$50,000 to $74,999</c:v>
                </c:pt>
                <c:pt idx="3">
                  <c:v>$75,000 to $99,999</c:v>
                </c:pt>
                <c:pt idx="4">
                  <c:v>Greater than $100,000</c:v>
                </c:pt>
                <c:pt idx="5">
                  <c:v>All</c:v>
                </c:pt>
              </c:strCache>
            </c:strRef>
          </c:cat>
          <c:val>
            <c:numRef>
              <c:f>'Figure 3'!$B$25:$B$30</c:f>
              <c:numCache>
                <c:formatCode>0%</c:formatCode>
                <c:ptCount val="6"/>
                <c:pt idx="0">
                  <c:v>0.71</c:v>
                </c:pt>
                <c:pt idx="1">
                  <c:v>0.57999999999999996</c:v>
                </c:pt>
                <c:pt idx="2">
                  <c:v>0.42</c:v>
                </c:pt>
                <c:pt idx="3">
                  <c:v>0.3</c:v>
                </c:pt>
                <c:pt idx="4">
                  <c:v>0.14000000000000001</c:v>
                </c:pt>
                <c:pt idx="5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0A-F547-9FB4-BE6F8C0999C0}"/>
            </c:ext>
          </c:extLst>
        </c:ser>
        <c:ser>
          <c:idx val="0"/>
          <c:order val="1"/>
          <c:tx>
            <c:v>2021</c:v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5000000000000001E-2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0A-F547-9FB4-BE6F8C0999C0}"/>
                </c:ext>
              </c:extLst>
            </c:dLbl>
            <c:dLbl>
              <c:idx val="1"/>
              <c:layout>
                <c:manualLayout>
                  <c:x val="1.9444444444444445E-2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0A-F547-9FB4-BE6F8C0999C0}"/>
                </c:ext>
              </c:extLst>
            </c:dLbl>
            <c:dLbl>
              <c:idx val="2"/>
              <c:layout>
                <c:manualLayout>
                  <c:x val="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0A-F547-9FB4-BE6F8C0999C0}"/>
                </c:ext>
              </c:extLst>
            </c:dLbl>
            <c:dLbl>
              <c:idx val="3"/>
              <c:layout>
                <c:manualLayout>
                  <c:x val="3.05555555555555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0A-F547-9FB4-BE6F8C0999C0}"/>
                </c:ext>
              </c:extLst>
            </c:dLbl>
            <c:dLbl>
              <c:idx val="4"/>
              <c:layout>
                <c:manualLayout>
                  <c:x val="1.9444444444444445E-2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0A-F547-9FB4-BE6F8C0999C0}"/>
                </c:ext>
              </c:extLst>
            </c:dLbl>
            <c:dLbl>
              <c:idx val="5"/>
              <c:layout>
                <c:manualLayout>
                  <c:x val="1.6666666666666666E-2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0A-F547-9FB4-BE6F8C0999C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3'!$A$25:$A$30</c:f>
              <c:strCache>
                <c:ptCount val="6"/>
                <c:pt idx="0">
                  <c:v>$0 to $24,999</c:v>
                </c:pt>
                <c:pt idx="1">
                  <c:v>$25,000 to $49,999</c:v>
                </c:pt>
                <c:pt idx="2">
                  <c:v>$50,000 to $74,999</c:v>
                </c:pt>
                <c:pt idx="3">
                  <c:v>$75,000 to $99,999</c:v>
                </c:pt>
                <c:pt idx="4">
                  <c:v>Greater than $100,000</c:v>
                </c:pt>
                <c:pt idx="5">
                  <c:v>All</c:v>
                </c:pt>
              </c:strCache>
            </c:strRef>
          </c:cat>
          <c:val>
            <c:numRef>
              <c:f>'Figure 3'!$C$25:$C$30</c:f>
              <c:numCache>
                <c:formatCode>0%</c:formatCode>
                <c:ptCount val="6"/>
                <c:pt idx="0">
                  <c:v>0.67783590000000005</c:v>
                </c:pt>
                <c:pt idx="1">
                  <c:v>0.52559230000000001</c:v>
                </c:pt>
                <c:pt idx="2">
                  <c:v>0.36002790000000001</c:v>
                </c:pt>
                <c:pt idx="3">
                  <c:v>0.28490579999999999</c:v>
                </c:pt>
                <c:pt idx="4">
                  <c:v>0.1139922</c:v>
                </c:pt>
                <c:pt idx="5">
                  <c:v>0.36322559999999998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0A-F547-9FB4-BE6F8C099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6863040"/>
        <c:axId val="446863368"/>
      </c:barChart>
      <c:catAx>
        <c:axId val="44686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46863368"/>
        <c:crosses val="autoZero"/>
        <c:auto val="1"/>
        <c:lblAlgn val="ctr"/>
        <c:lblOffset val="100"/>
        <c:noMultiLvlLbl val="0"/>
      </c:catAx>
      <c:valAx>
        <c:axId val="44686336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46863040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87976049868766404"/>
          <c:y val="5.8900449943757031E-2"/>
          <c:w val="0.11655839895013123"/>
          <c:h val="0.12029433820772403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018372703412"/>
          <c:y val="2.6359205099362581E-2"/>
          <c:w val="0.88971981627296592"/>
          <c:h val="0.822225133956923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2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1BD-43D9-8B38-727125A1A417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1BD-43D9-8B38-727125A1A4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3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4'!$A$26:$E$26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4">
                  <c:v>2021</c:v>
                </c:pt>
              </c:numCache>
            </c:numRef>
          </c:cat>
          <c:val>
            <c:numRef>
              <c:f>'Figure 4'!$A$27:$E$27</c:f>
              <c:numCache>
                <c:formatCode>0%</c:formatCode>
                <c:ptCount val="5"/>
                <c:pt idx="0">
                  <c:v>0.30030000000000001</c:v>
                </c:pt>
                <c:pt idx="1">
                  <c:v>0.30499999999999999</c:v>
                </c:pt>
                <c:pt idx="2">
                  <c:v>0.34789999999999999</c:v>
                </c:pt>
                <c:pt idx="3">
                  <c:v>0.28129999999999999</c:v>
                </c:pt>
                <c:pt idx="4">
                  <c:v>0.29720000000000002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BD-43D9-8B38-727125A1A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1314559"/>
        <c:axId val="1722598175"/>
      </c:barChart>
      <c:catAx>
        <c:axId val="1721314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300"/>
            </a:pPr>
            <a:endParaRPr lang="en-US"/>
          </a:p>
        </c:txPr>
        <c:crossAx val="1722598175"/>
        <c:crosses val="autoZero"/>
        <c:auto val="1"/>
        <c:lblAlgn val="ctr"/>
        <c:lblOffset val="100"/>
        <c:noMultiLvlLbl val="0"/>
      </c:catAx>
      <c:valAx>
        <c:axId val="1722598175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300"/>
            </a:pPr>
            <a:endParaRPr lang="en-US"/>
          </a:p>
        </c:txPr>
        <c:crossAx val="1721314559"/>
        <c:crosses val="autoZero"/>
        <c:crossBetween val="between"/>
        <c:majorUnit val="0.25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2</xdr:row>
      <xdr:rowOff>10160</xdr:rowOff>
    </xdr:from>
    <xdr:to>
      <xdr:col>3</xdr:col>
      <xdr:colOff>223158</xdr:colOff>
      <xdr:row>15</xdr:row>
      <xdr:rowOff>177800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9D3842F-641B-41C0-9F9F-9D2E23A027B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</xdr:colOff>
      <xdr:row>2</xdr:row>
      <xdr:rowOff>14286</xdr:rowOff>
    </xdr:from>
    <xdr:to>
      <xdr:col>4</xdr:col>
      <xdr:colOff>91440</xdr:colOff>
      <xdr:row>17</xdr:row>
      <xdr:rowOff>42195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28393D-65F1-4F64-BE5E-5D5BDEFDF14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0.85111</cdr:x>
      <cdr:y>0.02619</cdr:y>
    </cdr:from>
    <cdr:to>
      <cdr:x>0.85111</cdr:x>
      <cdr:y>0.80714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98B0B81B-14A9-F049-A598-ED28415405AC}"/>
            </a:ext>
          </a:extLst>
        </cdr:cNvPr>
        <cdr:cNvCxnSpPr/>
      </cdr:nvCxnSpPr>
      <cdr:spPr>
        <a:xfrm xmlns:a="http://schemas.openxmlformats.org/drawingml/2006/main" flipV="1">
          <a:off x="3424322" y="81823"/>
          <a:ext cx="0" cy="2439844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0.85111</cdr:x>
      <cdr:y>0.02619</cdr:y>
    </cdr:from>
    <cdr:to>
      <cdr:x>0.85111</cdr:x>
      <cdr:y>0.80714</cdr:y>
    </cdr:to>
    <cdr:cxnSp macro="">
      <cdr:nvCxnSpPr>
        <cdr:cNvPr id="4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98B0B81B-14A9-F049-A598-ED28415405AC}"/>
            </a:ext>
          </a:extLst>
        </cdr:cNvPr>
        <cdr:cNvCxnSpPr/>
      </cdr:nvCxnSpPr>
      <cdr:spPr>
        <a:xfrm xmlns:a="http://schemas.openxmlformats.org/drawingml/2006/main" flipV="1">
          <a:off x="3891280" y="83820"/>
          <a:ext cx="0" cy="249936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</xdr:row>
      <xdr:rowOff>25400</xdr:rowOff>
    </xdr:from>
    <xdr:to>
      <xdr:col>5</xdr:col>
      <xdr:colOff>177800</xdr:colOff>
      <xdr:row>18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25E425-F9A9-4E9A-B7BE-68AFEE78A3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0.70565</cdr:x>
      <cdr:y>0.03354</cdr:y>
    </cdr:from>
    <cdr:to>
      <cdr:x>0.85702</cdr:x>
      <cdr:y>0.83358</cdr:y>
    </cdr:to>
    <cdr:sp macro="" textlink="">
      <cdr:nvSpPr>
        <cdr:cNvPr id="8" name="Rectangle 7">
          <a:extLst xmlns:a="http://schemas.openxmlformats.org/drawingml/2006/main">
            <a:ext uri="{FF2B5EF4-FFF2-40B4-BE49-F238E27FC236}">
              <a16:creationId xmlns:a16="http://schemas.microsoft.com/office/drawing/2014/main" id="{72C6B68D-A42C-8449-94A7-DF1B5CF3A81C}"/>
            </a:ext>
          </a:extLst>
        </cdr:cNvPr>
        <cdr:cNvSpPr/>
      </cdr:nvSpPr>
      <cdr:spPr>
        <a:xfrm xmlns:a="http://schemas.openxmlformats.org/drawingml/2006/main">
          <a:off x="3527371" y="103686"/>
          <a:ext cx="756656" cy="247306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26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3">
            <a:shade val="50000"/>
          </a:schemeClr>
        </a:lnRef>
        <a:fillRef xmlns:a="http://schemas.openxmlformats.org/drawingml/2006/main" idx="1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0.4036</cdr:x>
      <cdr:y>0.02992</cdr:y>
    </cdr:from>
    <cdr:to>
      <cdr:x>0.55051</cdr:x>
      <cdr:y>0.8318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id="{96C7F9A6-8F29-F34A-B7E6-8A22A67C445F}"/>
            </a:ext>
          </a:extLst>
        </cdr:cNvPr>
        <cdr:cNvSpPr/>
      </cdr:nvSpPr>
      <cdr:spPr>
        <a:xfrm xmlns:a="http://schemas.openxmlformats.org/drawingml/2006/main">
          <a:off x="1845280" y="95756"/>
          <a:ext cx="671672" cy="256633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26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3">
            <a:shade val="50000"/>
          </a:schemeClr>
        </a:lnRef>
        <a:fillRef xmlns:a="http://schemas.openxmlformats.org/drawingml/2006/main" idx="1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0.41273</cdr:x>
      <cdr:y>0.04672</cdr:y>
    </cdr:from>
    <cdr:to>
      <cdr:x>0.54051</cdr:x>
      <cdr:y>0.20696</cdr:y>
    </cdr:to>
    <cdr:sp macro="" textlink="">
      <cdr:nvSpPr>
        <cdr:cNvPr id="2" name="Text Box 2">
          <a:extLst xmlns:a="http://schemas.openxmlformats.org/drawingml/2006/main">
            <a:ext uri="{FF2B5EF4-FFF2-40B4-BE49-F238E27FC236}">
              <a16:creationId xmlns:a16="http://schemas.microsoft.com/office/drawing/2014/main" id="{0637AB1B-6BE8-A045-AA12-2F270561D31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7017" y="149528"/>
          <a:ext cx="584210" cy="512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ctr" anchorCtr="0">
          <a:noAutofit/>
        </a:bodyPr>
        <a:lstStyle xmlns:a="http://schemas.openxmlformats.org/drawingml/2006/main"/>
        <a:p xmlns:a="http://schemas.openxmlformats.org/drawingml/2006/main">
          <a:pPr marL="0" marR="0" algn="ctr">
            <a:lnSpc>
              <a:spcPct val="106000"/>
            </a:lnSpc>
            <a:spcBef>
              <a:spcPts val="0"/>
            </a:spcBef>
            <a:spcAft>
              <a:spcPts val="800"/>
            </a:spcAft>
          </a:pPr>
          <a:r>
            <a:rPr lang="en-US" sz="1200">
              <a:effectLst/>
              <a:latin typeface="Times New Roman" panose="02020603050405020304" pitchFamily="18" charset="0"/>
              <a:ea typeface="DengXian" panose="02010600030101010101" pitchFamily="2" charset="-122"/>
              <a:cs typeface="Times New Roman" panose="02020603050405020304" pitchFamily="18" charset="0"/>
            </a:rPr>
            <a:t>First EIP</a:t>
          </a:r>
          <a:br>
            <a:rPr lang="en-US" sz="1200">
              <a:effectLst/>
              <a:latin typeface="Times New Roman" panose="02020603050405020304" pitchFamily="18" charset="0"/>
              <a:ea typeface="DengXian" panose="02010600030101010101" pitchFamily="2" charset="-122"/>
              <a:cs typeface="Times New Roman" panose="02020603050405020304" pitchFamily="18" charset="0"/>
            </a:rPr>
          </a:br>
          <a:r>
            <a:rPr lang="en-US" sz="1200">
              <a:effectLst/>
              <a:latin typeface="Times New Roman" panose="02020603050405020304" pitchFamily="18" charset="0"/>
              <a:ea typeface="DengXian" panose="02010600030101010101" pitchFamily="2" charset="-122"/>
              <a:cs typeface="Times New Roman" panose="02020603050405020304" pitchFamily="18" charset="0"/>
            </a:rPr>
            <a:t>check</a:t>
          </a:r>
        </a:p>
      </cdr:txBody>
    </cdr:sp>
  </cdr:relSizeAnchor>
  <cdr:relSizeAnchor xmlns:cdr="http://schemas.openxmlformats.org/drawingml/2006/chartDrawing">
    <cdr:from>
      <cdr:x>0.69167</cdr:x>
      <cdr:y>0.07641</cdr:y>
    </cdr:from>
    <cdr:to>
      <cdr:x>0.87049</cdr:x>
      <cdr:y>0.19231</cdr:y>
    </cdr:to>
    <cdr:sp macro="" textlink="">
      <cdr:nvSpPr>
        <cdr:cNvPr id="3" name="Text Box 2">
          <a:extLst xmlns:a="http://schemas.openxmlformats.org/drawingml/2006/main">
            <a:ext uri="{FF2B5EF4-FFF2-40B4-BE49-F238E27FC236}">
              <a16:creationId xmlns:a16="http://schemas.microsoft.com/office/drawing/2014/main" id="{74A3171B-BBEE-0D4A-9C87-A0D9CFF0E64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7444" y="236188"/>
          <a:ext cx="893871" cy="3582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ctr" anchorCtr="0">
          <a:noAutofit/>
        </a:bodyPr>
        <a:lstStyle xmlns:a="http://schemas.openxmlformats.org/drawingml/2006/main"/>
        <a:p xmlns:a="http://schemas.openxmlformats.org/drawingml/2006/main">
          <a:pPr marL="0" marR="0" algn="ctr">
            <a:lnSpc>
              <a:spcPct val="106000"/>
            </a:lnSpc>
            <a:spcBef>
              <a:spcPts val="0"/>
            </a:spcBef>
            <a:spcAft>
              <a:spcPts val="800"/>
            </a:spcAft>
          </a:pPr>
          <a:r>
            <a:rPr lang="en-US" sz="1200">
              <a:effectLst/>
              <a:latin typeface="Times New Roman" panose="02020603050405020304" pitchFamily="18" charset="0"/>
              <a:ea typeface="DengXian" panose="02010600030101010101" pitchFamily="2" charset="-122"/>
              <a:cs typeface="Times New Roman" panose="02020603050405020304" pitchFamily="18" charset="0"/>
            </a:rPr>
            <a:t>Extra UI </a:t>
          </a:r>
          <a:br>
            <a:rPr lang="en-US" sz="1200">
              <a:effectLst/>
              <a:latin typeface="Times New Roman" panose="02020603050405020304" pitchFamily="18" charset="0"/>
              <a:ea typeface="DengXian" panose="02010600030101010101" pitchFamily="2" charset="-122"/>
              <a:cs typeface="Times New Roman" panose="02020603050405020304" pitchFamily="18" charset="0"/>
            </a:rPr>
          </a:br>
          <a:r>
            <a:rPr lang="en-US" sz="1200">
              <a:effectLst/>
              <a:latin typeface="Times New Roman" panose="02020603050405020304" pitchFamily="18" charset="0"/>
              <a:ea typeface="DengXian" panose="02010600030101010101" pitchFamily="2" charset="-122"/>
              <a:cs typeface="Times New Roman" panose="02020603050405020304" pitchFamily="18" charset="0"/>
            </a:rPr>
            <a:t>($600)</a:t>
          </a:r>
          <a:br>
            <a:rPr lang="en-US" sz="1200">
              <a:effectLst/>
              <a:latin typeface="Times New Roman" panose="02020603050405020304" pitchFamily="18" charset="0"/>
              <a:ea typeface="DengXian" panose="02010600030101010101" pitchFamily="2" charset="-122"/>
              <a:cs typeface="Times New Roman" panose="02020603050405020304" pitchFamily="18" charset="0"/>
            </a:rPr>
          </a:br>
          <a:r>
            <a:rPr lang="en-US" sz="1200">
              <a:effectLst/>
              <a:latin typeface="Times New Roman" panose="02020603050405020304" pitchFamily="18" charset="0"/>
              <a:ea typeface="DengXian" panose="02010600030101010101" pitchFamily="2" charset="-122"/>
              <a:cs typeface="Times New Roman" panose="02020603050405020304" pitchFamily="18" charset="0"/>
            </a:rPr>
            <a:t>expired</a:t>
          </a:r>
        </a:p>
      </cdr:txBody>
    </cdr:sp>
  </cdr:relSizeAnchor>
  <cdr:relSizeAnchor xmlns:cdr="http://schemas.openxmlformats.org/drawingml/2006/chartDrawing">
    <cdr:from>
      <cdr:x>0.47141</cdr:x>
      <cdr:y>0.93745</cdr:y>
    </cdr:from>
    <cdr:to>
      <cdr:x>1</cdr:x>
      <cdr:y>1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084EED6C-167F-B249-B664-0F040736F447}"/>
            </a:ext>
          </a:extLst>
        </cdr:cNvPr>
        <cdr:cNvSpPr txBox="1"/>
      </cdr:nvSpPr>
      <cdr:spPr>
        <a:xfrm xmlns:a="http://schemas.openxmlformats.org/drawingml/2006/main">
          <a:off x="2151698" y="3040698"/>
          <a:ext cx="2412682" cy="202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SHED interviews during COVID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30479</xdr:rowOff>
    </xdr:from>
    <xdr:to>
      <xdr:col>6</xdr:col>
      <xdr:colOff>203200</xdr:colOff>
      <xdr:row>21</xdr:row>
      <xdr:rowOff>111759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37FE18F-97EF-4869-869C-C2A15B9E4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15463</xdr:rowOff>
    </xdr:from>
    <xdr:to>
      <xdr:col>2</xdr:col>
      <xdr:colOff>1412240</xdr:colOff>
      <xdr:row>17</xdr:row>
      <xdr:rowOff>167863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3ABC771-B050-4218-8391-28FAE31521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</xdr:colOff>
      <xdr:row>2</xdr:row>
      <xdr:rowOff>171132</xdr:rowOff>
    </xdr:from>
    <xdr:to>
      <xdr:col>6</xdr:col>
      <xdr:colOff>561340</xdr:colOff>
      <xdr:row>19</xdr:row>
      <xdr:rowOff>133032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373D40-4472-41C7-A0FE-0C6EB8668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0.47611</cdr:x>
      <cdr:y>0.86266</cdr:y>
    </cdr:from>
    <cdr:to>
      <cdr:x>0.63169</cdr:x>
      <cdr:y>0.98511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1D30CA7-FD64-394C-B274-7648350B8DAF}"/>
            </a:ext>
          </a:extLst>
        </cdr:cNvPr>
        <cdr:cNvSpPr txBox="1"/>
      </cdr:nvSpPr>
      <cdr:spPr>
        <a:xfrm xmlns:a="http://schemas.openxmlformats.org/drawingml/2006/main">
          <a:off x="2013520" y="2649113"/>
          <a:ext cx="657963" cy="3760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2020</a:t>
          </a:r>
        </a:p>
        <a:p xmlns:a="http://schemas.openxmlformats.org/drawingml/2006/main">
          <a:pPr algn="ctr"/>
          <a:r>
            <a:rPr lang="en-US" sz="1300">
              <a:latin typeface="ScalaOT-Regular" panose="02010504040101020104" pitchFamily="2" charset="77"/>
              <a:cs typeface="Times New Roman" panose="02020603050405020304" pitchFamily="18" charset="0"/>
            </a:rPr>
            <a:t>Kept</a:t>
          </a:r>
          <a:r>
            <a:rPr lang="en-US" sz="1300" baseline="0">
              <a:latin typeface="ScalaOT-Regular" panose="02010504040101020104" pitchFamily="2" charset="77"/>
              <a:cs typeface="Times New Roman" panose="02020603050405020304" pitchFamily="18" charset="0"/>
            </a:rPr>
            <a:t> job</a:t>
          </a:r>
          <a:endParaRPr lang="en-US" sz="1300">
            <a:latin typeface="ScalaOT-Regular" panose="02010504040101020104" pitchFamily="2" charset="77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0.65973</cdr:x>
      <cdr:y>0.86762</cdr:y>
    </cdr:from>
    <cdr:to>
      <cdr:x>0.80642</cdr:x>
      <cdr:y>0.99007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189259F-874D-6249-A256-3B7DC50B12B2}"/>
            </a:ext>
          </a:extLst>
        </cdr:cNvPr>
        <cdr:cNvSpPr txBox="1"/>
      </cdr:nvSpPr>
      <cdr:spPr>
        <a:xfrm xmlns:a="http://schemas.openxmlformats.org/drawingml/2006/main">
          <a:off x="2790085" y="2664353"/>
          <a:ext cx="620325" cy="3760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2020</a:t>
          </a:r>
        </a:p>
        <a:p xmlns:a="http://schemas.openxmlformats.org/drawingml/2006/main">
          <a:pPr algn="ctr"/>
          <a:r>
            <a:rPr lang="en-US" sz="1300">
              <a:latin typeface="ScalaOT-Regular" panose="02010504040101020104" pitchFamily="2" charset="77"/>
              <a:cs typeface="Times New Roman" panose="02020603050405020304" pitchFamily="18" charset="0"/>
            </a:rPr>
            <a:t>Lost</a:t>
          </a:r>
          <a:r>
            <a:rPr lang="en-US" sz="1300" baseline="0">
              <a:latin typeface="ScalaOT-Regular" panose="02010504040101020104" pitchFamily="2" charset="77"/>
              <a:cs typeface="Times New Roman" panose="02020603050405020304" pitchFamily="18" charset="0"/>
            </a:rPr>
            <a:t> job</a:t>
          </a:r>
          <a:endParaRPr lang="en-US" sz="1300">
            <a:latin typeface="ScalaOT-Regular" panose="02010504040101020104" pitchFamily="2" charset="77"/>
            <a:cs typeface="Times New Roman" panose="0202060305040502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zoomScale="125" zoomScaleNormal="125" workbookViewId="0"/>
  </sheetViews>
  <sheetFormatPr baseColWidth="10" defaultColWidth="9.1640625" defaultRowHeight="16" x14ac:dyDescent="0.2"/>
  <cols>
    <col min="1" max="1" width="17.33203125" style="9" customWidth="1"/>
    <col min="2" max="2" width="20.6640625" style="9" customWidth="1"/>
    <col min="3" max="3" width="17.5" style="9" customWidth="1"/>
    <col min="4" max="16384" width="9.1640625" style="1"/>
  </cols>
  <sheetData>
    <row r="1" spans="1:1" x14ac:dyDescent="0.2">
      <c r="A1" s="45" t="s">
        <v>73</v>
      </c>
    </row>
    <row r="20" spans="1:3" x14ac:dyDescent="0.2">
      <c r="A20" s="10" t="s">
        <v>63</v>
      </c>
    </row>
    <row r="21" spans="1:3" x14ac:dyDescent="0.2">
      <c r="A21" s="10" t="s">
        <v>26</v>
      </c>
    </row>
    <row r="22" spans="1:3" x14ac:dyDescent="0.2">
      <c r="A22" s="45"/>
    </row>
    <row r="24" spans="1:3" ht="34" x14ac:dyDescent="0.2">
      <c r="A24" s="46" t="s">
        <v>64</v>
      </c>
      <c r="B24" s="46" t="s">
        <v>65</v>
      </c>
      <c r="C24" s="46" t="s">
        <v>62</v>
      </c>
    </row>
    <row r="25" spans="1:3" x14ac:dyDescent="0.2">
      <c r="A25" s="47">
        <v>0.17797102412193089</v>
      </c>
      <c r="B25" s="47">
        <v>0.17810033753923049</v>
      </c>
      <c r="C25" s="47">
        <v>0.64392863833883862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22"/>
  <sheetViews>
    <sheetView workbookViewId="0">
      <selection activeCell="K30" sqref="K30"/>
    </sheetView>
  </sheetViews>
  <sheetFormatPr baseColWidth="10" defaultColWidth="8.6640625" defaultRowHeight="14" x14ac:dyDescent="0.15"/>
  <cols>
    <col min="1" max="1" width="21.83203125" style="2" customWidth="1"/>
    <col min="2" max="4" width="13.5" style="2" customWidth="1"/>
    <col min="5" max="16" width="8.6640625" style="2"/>
    <col min="17" max="17" width="19" style="2" customWidth="1"/>
    <col min="18" max="18" width="18.1640625" style="2" customWidth="1"/>
    <col min="19" max="21" width="15.5" style="2" customWidth="1"/>
    <col min="22" max="16384" width="8.6640625" style="2"/>
  </cols>
  <sheetData>
    <row r="1" spans="1:21" ht="16" x14ac:dyDescent="0.15">
      <c r="A1" s="7" t="s">
        <v>44</v>
      </c>
      <c r="R1" s="7" t="s">
        <v>46</v>
      </c>
    </row>
    <row r="2" spans="1:21" ht="16" x14ac:dyDescent="0.2">
      <c r="A2" s="8"/>
      <c r="B2" s="3" t="str">
        <f>"(1)"</f>
        <v>(1)</v>
      </c>
      <c r="C2" s="3" t="str">
        <f>"(2)"</f>
        <v>(2)</v>
      </c>
      <c r="D2" s="3" t="str">
        <f>"(3)"</f>
        <v>(3)</v>
      </c>
      <c r="R2" s="8"/>
      <c r="S2" s="3" t="str">
        <f>"(1)"</f>
        <v>(1)</v>
      </c>
      <c r="T2" s="3" t="str">
        <f>"(2)"</f>
        <v>(2)</v>
      </c>
      <c r="U2" s="3" t="str">
        <f>"(3)"</f>
        <v>(3)</v>
      </c>
    </row>
    <row r="3" spans="1:21" ht="16" x14ac:dyDescent="0.2">
      <c r="A3" s="3" t="str">
        <f>""</f>
        <v/>
      </c>
      <c r="B3" s="3" t="s">
        <v>0</v>
      </c>
      <c r="C3" s="3" t="s">
        <v>1</v>
      </c>
      <c r="D3" s="3" t="s">
        <v>2</v>
      </c>
      <c r="R3" s="3" t="str">
        <f>""</f>
        <v/>
      </c>
      <c r="S3" s="3" t="s">
        <v>0</v>
      </c>
      <c r="T3" s="3" t="s">
        <v>1</v>
      </c>
      <c r="U3" s="3" t="s">
        <v>2</v>
      </c>
    </row>
    <row r="4" spans="1:21" ht="16" x14ac:dyDescent="0.2">
      <c r="A4" s="4" t="s">
        <v>3</v>
      </c>
      <c r="B4" s="4" t="str">
        <f>"-232.6"</f>
        <v>-232.6</v>
      </c>
      <c r="C4" s="4" t="str">
        <f>"19536.5***"</f>
        <v>19536.5***</v>
      </c>
      <c r="D4" s="4" t="str">
        <f>"2061552.5"</f>
        <v>2061552.5</v>
      </c>
      <c r="R4" s="4" t="s">
        <v>3</v>
      </c>
      <c r="S4" s="4" t="str">
        <f>"-1341.1"</f>
        <v>-1341.1</v>
      </c>
      <c r="T4" s="4" t="str">
        <f>"23052.6***"</f>
        <v>23052.6***</v>
      </c>
      <c r="U4" s="4" t="str">
        <f>"472143.5***"</f>
        <v>472143.5***</v>
      </c>
    </row>
    <row r="5" spans="1:21" ht="16" x14ac:dyDescent="0.2">
      <c r="A5" s="5"/>
      <c r="B5" s="5" t="str">
        <f>"(2489.5)"</f>
        <v>(2489.5)</v>
      </c>
      <c r="C5" s="5" t="str">
        <f>"(1743.0)"</f>
        <v>(1743.0)</v>
      </c>
      <c r="D5" s="5" t="str">
        <f>"(1396221.8)"</f>
        <v>(1396221.8)</v>
      </c>
      <c r="R5" s="5"/>
      <c r="S5" s="5" t="str">
        <f>"(5137.8)"</f>
        <v>(5137.8)</v>
      </c>
      <c r="T5" s="5" t="str">
        <f>"(2696.7)"</f>
        <v>(2696.7)</v>
      </c>
      <c r="U5" s="5" t="str">
        <f>"(159132.9)"</f>
        <v>(159132.9)</v>
      </c>
    </row>
    <row r="6" spans="1:21" ht="16" x14ac:dyDescent="0.2">
      <c r="A6" s="5" t="s">
        <v>9</v>
      </c>
      <c r="B6" s="5" t="str">
        <f>"-16607.5***"</f>
        <v>-16607.5***</v>
      </c>
      <c r="C6" s="5" t="str">
        <f>"67230.3***"</f>
        <v>67230.3***</v>
      </c>
      <c r="D6" s="5" t="str">
        <f>"734268.1**"</f>
        <v>734268.1**</v>
      </c>
      <c r="R6" s="5" t="s">
        <v>9</v>
      </c>
      <c r="S6" s="5" t="str">
        <f>"-25495.3***"</f>
        <v>-25495.3***</v>
      </c>
      <c r="T6" s="5" t="str">
        <f>"61112.5***"</f>
        <v>61112.5***</v>
      </c>
      <c r="U6" s="5" t="str">
        <f>"746938.9***"</f>
        <v>746938.9***</v>
      </c>
    </row>
    <row r="7" spans="1:21" ht="16" x14ac:dyDescent="0.2">
      <c r="A7" s="6"/>
      <c r="B7" s="6" t="str">
        <f>"(615.5)"</f>
        <v>(615.5)</v>
      </c>
      <c r="C7" s="6" t="str">
        <f>"(422.7)"</f>
        <v>(422.7)</v>
      </c>
      <c r="D7" s="6" t="str">
        <f>"(359235.0)"</f>
        <v>(359235.0)</v>
      </c>
      <c r="R7" s="6"/>
      <c r="S7" s="6" t="str">
        <f>"(1382.9)"</f>
        <v>(1382.9)</v>
      </c>
      <c r="T7" s="6" t="str">
        <f>"(613.9)"</f>
        <v>(613.9)</v>
      </c>
      <c r="U7" s="6" t="str">
        <f>"(41119.9)"</f>
        <v>(41119.9)</v>
      </c>
    </row>
    <row r="8" spans="1:21" ht="16" x14ac:dyDescent="0.2">
      <c r="A8" s="4" t="s">
        <v>10</v>
      </c>
      <c r="B8" s="4" t="str">
        <f>"6279"</f>
        <v>6279</v>
      </c>
      <c r="C8" s="4" t="str">
        <f>"5255"</f>
        <v>5255</v>
      </c>
      <c r="D8" s="4" t="str">
        <f>"3971"</f>
        <v>3971</v>
      </c>
      <c r="R8" s="4" t="s">
        <v>10</v>
      </c>
      <c r="S8" s="4" t="str">
        <f>"3118"</f>
        <v>3118</v>
      </c>
      <c r="T8" s="4" t="str">
        <f>"1928"</f>
        <v>1928</v>
      </c>
      <c r="U8" s="4" t="str">
        <f>"1312"</f>
        <v>1312</v>
      </c>
    </row>
    <row r="9" spans="1:21" ht="16" x14ac:dyDescent="0.2">
      <c r="A9" s="6" t="s">
        <v>11</v>
      </c>
      <c r="B9" s="6" t="str">
        <f>"0.000"</f>
        <v>0.000</v>
      </c>
      <c r="C9" s="6" t="str">
        <f>"0.084"</f>
        <v>0.084</v>
      </c>
      <c r="D9" s="6" t="str">
        <f>"0.003"</f>
        <v>0.003</v>
      </c>
      <c r="R9" s="6" t="s">
        <v>11</v>
      </c>
      <c r="S9" s="6" t="str">
        <f>"0.000"</f>
        <v>0.000</v>
      </c>
      <c r="T9" s="6" t="str">
        <f>"0.114"</f>
        <v>0.114</v>
      </c>
      <c r="U9" s="6" t="str">
        <f>"0.014"</f>
        <v>0.014</v>
      </c>
    </row>
    <row r="10" spans="1:21" x14ac:dyDescent="0.15">
      <c r="A10" s="2" t="str">
        <f>"Standard errors in parentheses"</f>
        <v>Standard errors in parentheses</v>
      </c>
      <c r="R10" s="2" t="str">
        <f>"Standard errors in parentheses"</f>
        <v>Standard errors in parentheses</v>
      </c>
    </row>
    <row r="11" spans="1:21" x14ac:dyDescent="0.15">
      <c r="A11" s="2" t="s">
        <v>12</v>
      </c>
      <c r="B11" s="2" t="s">
        <v>13</v>
      </c>
      <c r="C11" s="2" t="s">
        <v>14</v>
      </c>
      <c r="R11" s="2" t="s">
        <v>12</v>
      </c>
      <c r="S11" s="2" t="s">
        <v>13</v>
      </c>
      <c r="T11" s="2" t="s">
        <v>14</v>
      </c>
    </row>
    <row r="14" spans="1:21" ht="16" x14ac:dyDescent="0.15">
      <c r="A14" s="7" t="s">
        <v>47</v>
      </c>
      <c r="R14" s="7" t="s">
        <v>45</v>
      </c>
    </row>
    <row r="15" spans="1:21" ht="16" x14ac:dyDescent="0.2">
      <c r="A15" s="8"/>
      <c r="B15" s="3" t="str">
        <f>"(1)"</f>
        <v>(1)</v>
      </c>
      <c r="C15" s="3" t="str">
        <f>"(2)"</f>
        <v>(2)</v>
      </c>
      <c r="D15" s="3" t="str">
        <f>"(3)"</f>
        <v>(3)</v>
      </c>
      <c r="R15" s="8"/>
      <c r="S15" s="3" t="str">
        <f>"(1)"</f>
        <v>(1)</v>
      </c>
      <c r="T15" s="3" t="str">
        <f>"(2)"</f>
        <v>(2)</v>
      </c>
      <c r="U15" s="3" t="str">
        <f>"(3)"</f>
        <v>(3)</v>
      </c>
    </row>
    <row r="16" spans="1:21" ht="16" x14ac:dyDescent="0.2">
      <c r="A16" s="3" t="str">
        <f>""</f>
        <v/>
      </c>
      <c r="B16" s="3" t="s">
        <v>0</v>
      </c>
      <c r="C16" s="3" t="s">
        <v>1</v>
      </c>
      <c r="D16" s="3" t="s">
        <v>2</v>
      </c>
      <c r="R16" s="3" t="str">
        <f>""</f>
        <v/>
      </c>
      <c r="S16" s="3" t="s">
        <v>0</v>
      </c>
      <c r="T16" s="3" t="s">
        <v>1</v>
      </c>
      <c r="U16" s="3" t="s">
        <v>2</v>
      </c>
    </row>
    <row r="17" spans="1:21" ht="16" x14ac:dyDescent="0.2">
      <c r="A17" s="4" t="s">
        <v>3</v>
      </c>
      <c r="B17" s="4" t="str">
        <f>"-574.5"</f>
        <v>-574.5</v>
      </c>
      <c r="C17" s="4" t="str">
        <f>"12056.4***"</f>
        <v>12056.4***</v>
      </c>
      <c r="D17" s="4" t="str">
        <f>"984393.6"</f>
        <v>984393.6</v>
      </c>
      <c r="R17" s="4" t="s">
        <v>3</v>
      </c>
      <c r="S17" s="4" t="str">
        <f>"-1467.5"</f>
        <v>-1467.5</v>
      </c>
      <c r="T17" s="4" t="str">
        <f>"13178.1***"</f>
        <v>13178.1***</v>
      </c>
      <c r="U17" s="4" t="str">
        <f>"140905.5***"</f>
        <v>140905.5***</v>
      </c>
    </row>
    <row r="18" spans="1:21" ht="16" x14ac:dyDescent="0.2">
      <c r="A18" s="5"/>
      <c r="B18" s="5" t="str">
        <f>"(2420.3)"</f>
        <v>(2420.3)</v>
      </c>
      <c r="C18" s="5" t="str">
        <f>"(1426.0)"</f>
        <v>(1426.0)</v>
      </c>
      <c r="D18" s="5" t="str">
        <f>"(852030.9)"</f>
        <v>(852030.9)</v>
      </c>
      <c r="R18" s="5"/>
      <c r="S18" s="5" t="str">
        <f>"(5143.7)"</f>
        <v>(5143.7)</v>
      </c>
      <c r="T18" s="5" t="str">
        <f>"(2011.1)"</f>
        <v>(2011.1)</v>
      </c>
      <c r="U18" s="5" t="str">
        <f>"(45352.9)"</f>
        <v>(45352.9)</v>
      </c>
    </row>
    <row r="19" spans="1:21" ht="16" x14ac:dyDescent="0.2">
      <c r="A19" s="5" t="s">
        <v>9</v>
      </c>
      <c r="B19" s="5" t="str">
        <f>"-16588.4***"</f>
        <v>-16588.4***</v>
      </c>
      <c r="C19" s="5" t="str">
        <f>"67273.5***"</f>
        <v>67273.5***</v>
      </c>
      <c r="D19" s="5" t="str">
        <f>"769480.4***"</f>
        <v>769480.4***</v>
      </c>
      <c r="R19" s="5" t="s">
        <v>9</v>
      </c>
      <c r="S19" s="5" t="str">
        <f>"-25485.1***"</f>
        <v>-25485.1***</v>
      </c>
      <c r="T19" s="5" t="str">
        <f>"61467.0***"</f>
        <v>61467.0***</v>
      </c>
      <c r="U19" s="5" t="str">
        <f>"739777.9***"</f>
        <v>739777.9***</v>
      </c>
    </row>
    <row r="20" spans="1:21" ht="16" x14ac:dyDescent="0.2">
      <c r="A20" s="6"/>
      <c r="B20" s="6" t="str">
        <f>"(598.4)"</f>
        <v>(598.4)</v>
      </c>
      <c r="C20" s="6" t="str">
        <f>"(345.8)"</f>
        <v>(345.8)</v>
      </c>
      <c r="D20" s="6" t="str">
        <f>"(219219.7)"</f>
        <v>(219219.7)</v>
      </c>
      <c r="R20" s="6"/>
      <c r="S20" s="6" t="str">
        <f>"(1384.5)"</f>
        <v>(1384.5)</v>
      </c>
      <c r="T20" s="6" t="str">
        <f>"(457.8)"</f>
        <v>(457.8)</v>
      </c>
      <c r="U20" s="6" t="str">
        <f>"(11719.2)"</f>
        <v>(11719.2)</v>
      </c>
    </row>
    <row r="21" spans="1:21" ht="16" x14ac:dyDescent="0.2">
      <c r="A21" s="4" t="s">
        <v>10</v>
      </c>
      <c r="B21" s="4" t="str">
        <f>"6279"</f>
        <v>6279</v>
      </c>
      <c r="C21" s="4" t="str">
        <f>"5255"</f>
        <v>5255</v>
      </c>
      <c r="D21" s="4" t="str">
        <f>"3971"</f>
        <v>3971</v>
      </c>
      <c r="R21" s="4" t="s">
        <v>10</v>
      </c>
      <c r="S21" s="4" t="str">
        <f>"3118"</f>
        <v>3118</v>
      </c>
      <c r="T21" s="4" t="str">
        <f>"1928"</f>
        <v>1928</v>
      </c>
      <c r="U21" s="4" t="str">
        <f>"1312"</f>
        <v>1312</v>
      </c>
    </row>
    <row r="22" spans="1:21" ht="16" x14ac:dyDescent="0.2">
      <c r="A22" s="6" t="s">
        <v>11</v>
      </c>
      <c r="B22" s="6" t="str">
        <f>"0.000"</f>
        <v>0.000</v>
      </c>
      <c r="C22" s="6" t="str">
        <f>"0.038"</f>
        <v>0.038</v>
      </c>
      <c r="D22" s="6" t="str">
        <f>"0.002"</f>
        <v>0.002</v>
      </c>
      <c r="R22" s="6" t="s">
        <v>11</v>
      </c>
      <c r="S22" s="6" t="str">
        <f>"0.000"</f>
        <v>0.000</v>
      </c>
      <c r="T22" s="6" t="str">
        <f>"0.046"</f>
        <v>0.046</v>
      </c>
      <c r="U22" s="6" t="str">
        <f>"0.009"</f>
        <v>0.009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1"/>
  <sheetViews>
    <sheetView workbookViewId="0">
      <selection activeCell="K30" sqref="K30"/>
    </sheetView>
  </sheetViews>
  <sheetFormatPr baseColWidth="10" defaultColWidth="8.6640625" defaultRowHeight="14" x14ac:dyDescent="0.15"/>
  <cols>
    <col min="1" max="1" width="21.83203125" style="2" customWidth="1"/>
    <col min="2" max="7" width="13.5" style="2" customWidth="1"/>
    <col min="8" max="16384" width="8.6640625" style="2"/>
  </cols>
  <sheetData>
    <row r="1" spans="1:7" ht="16" x14ac:dyDescent="0.15">
      <c r="A1" s="7" t="s">
        <v>15</v>
      </c>
    </row>
    <row r="2" spans="1:7" ht="16" x14ac:dyDescent="0.2">
      <c r="A2" s="3" t="str">
        <f>""</f>
        <v/>
      </c>
      <c r="B2" s="3" t="str">
        <f>"(1)"</f>
        <v>(1)</v>
      </c>
      <c r="C2" s="3" t="str">
        <f>"(2)"</f>
        <v>(2)</v>
      </c>
      <c r="D2" s="3" t="str">
        <f>"(3)"</f>
        <v>(3)</v>
      </c>
      <c r="E2" s="3" t="str">
        <f>"(1)"</f>
        <v>(1)</v>
      </c>
      <c r="F2" s="3" t="str">
        <f>"(2)"</f>
        <v>(2)</v>
      </c>
      <c r="G2" s="3" t="str">
        <f>"(3)"</f>
        <v>(3)</v>
      </c>
    </row>
    <row r="3" spans="1:7" ht="16" x14ac:dyDescent="0.2">
      <c r="A3" s="3" t="str">
        <f>""</f>
        <v/>
      </c>
      <c r="B3" s="3" t="s">
        <v>0</v>
      </c>
      <c r="C3" s="3" t="s">
        <v>1</v>
      </c>
      <c r="D3" s="3" t="s">
        <v>2</v>
      </c>
      <c r="E3" s="3" t="s">
        <v>0</v>
      </c>
      <c r="F3" s="3" t="s">
        <v>1</v>
      </c>
      <c r="G3" s="3" t="s">
        <v>2</v>
      </c>
    </row>
    <row r="4" spans="1:7" ht="16" x14ac:dyDescent="0.2">
      <c r="A4" s="4" t="s">
        <v>3</v>
      </c>
      <c r="B4" s="4" t="str">
        <f>"-0.0174"</f>
        <v>-0.0174</v>
      </c>
      <c r="C4" s="4" t="str">
        <f>"-0.0604***"</f>
        <v>-0.0604***</v>
      </c>
      <c r="D4" s="4" t="str">
        <f>"-0.0625***"</f>
        <v>-0.0625***</v>
      </c>
      <c r="E4" s="4" t="str">
        <f>"-0.0128"</f>
        <v>-0.0128</v>
      </c>
      <c r="F4" s="4" t="str">
        <f>"-0.0650***"</f>
        <v>-0.0650***</v>
      </c>
      <c r="G4" s="4" t="str">
        <f>"-0.0571***"</f>
        <v>-0.0571***</v>
      </c>
    </row>
    <row r="5" spans="1:7" ht="16" x14ac:dyDescent="0.2">
      <c r="A5" s="5"/>
      <c r="B5" s="5" t="str">
        <f>"(0.0146)"</f>
        <v>(0.0146)</v>
      </c>
      <c r="C5" s="5" t="str">
        <f>"(0.0171)"</f>
        <v>(0.0171)</v>
      </c>
      <c r="D5" s="5" t="str">
        <f>"(0.0138)"</f>
        <v>(0.0138)</v>
      </c>
      <c r="E5" s="5" t="str">
        <f>"(0.0148)"</f>
        <v>(0.0148)</v>
      </c>
      <c r="F5" s="5" t="str">
        <f>"(0.0174)"</f>
        <v>(0.0174)</v>
      </c>
      <c r="G5" s="5" t="str">
        <f>"(0.0142)"</f>
        <v>(0.0142)</v>
      </c>
    </row>
    <row r="6" spans="1:7" ht="16" x14ac:dyDescent="0.2">
      <c r="A6" s="5" t="s">
        <v>4</v>
      </c>
      <c r="B6" s="5" t="str">
        <f>""</f>
        <v/>
      </c>
      <c r="C6" s="5" t="str">
        <f>""</f>
        <v/>
      </c>
      <c r="D6" s="5" t="str">
        <f>""</f>
        <v/>
      </c>
      <c r="E6" s="1" t="str">
        <f>"0.0359**"</f>
        <v>0.0359**</v>
      </c>
      <c r="F6" s="1" t="str">
        <f>"-0.0292"</f>
        <v>-0.0292</v>
      </c>
      <c r="G6" s="1" t="str">
        <f>"0.0265*"</f>
        <v>0.0265*</v>
      </c>
    </row>
    <row r="7" spans="1:7" ht="16" x14ac:dyDescent="0.2">
      <c r="A7" s="5"/>
      <c r="B7" s="5" t="str">
        <f>""</f>
        <v/>
      </c>
      <c r="C7" s="5" t="str">
        <f>""</f>
        <v/>
      </c>
      <c r="D7" s="5" t="str">
        <f>""</f>
        <v/>
      </c>
      <c r="E7" s="1" t="str">
        <f>"(0.0167)"</f>
        <v>(0.0167)</v>
      </c>
      <c r="F7" s="1" t="str">
        <f>"(0.0198)"</f>
        <v>(0.0198)</v>
      </c>
      <c r="G7" s="1" t="str">
        <f>"(0.0148)"</f>
        <v>(0.0148)</v>
      </c>
    </row>
    <row r="8" spans="1:7" ht="16" x14ac:dyDescent="0.2">
      <c r="A8" s="5" t="s">
        <v>5</v>
      </c>
      <c r="B8" s="5" t="str">
        <f>""</f>
        <v/>
      </c>
      <c r="C8" s="5" t="str">
        <f>""</f>
        <v/>
      </c>
      <c r="D8" s="5" t="str">
        <f>""</f>
        <v/>
      </c>
      <c r="E8" s="5" t="str">
        <f>"-0.0326"</f>
        <v>-0.0326</v>
      </c>
      <c r="F8" s="5" t="str">
        <f>"0.0354"</f>
        <v>0.0354</v>
      </c>
      <c r="G8" s="5" t="str">
        <f>"0.0239"</f>
        <v>0.0239</v>
      </c>
    </row>
    <row r="9" spans="1:7" ht="16" x14ac:dyDescent="0.2">
      <c r="A9" s="5"/>
      <c r="B9" s="5" t="str">
        <f>""</f>
        <v/>
      </c>
      <c r="C9" s="5" t="str">
        <f>""</f>
        <v/>
      </c>
      <c r="D9" s="5" t="str">
        <f>""</f>
        <v/>
      </c>
      <c r="E9" s="5" t="str">
        <f>"(0.0558)"</f>
        <v>(0.0558)</v>
      </c>
      <c r="F9" s="5" t="str">
        <f>"(0.0411)"</f>
        <v>(0.0411)</v>
      </c>
      <c r="G9" s="5" t="str">
        <f>"(0.0427)"</f>
        <v>(0.0427)</v>
      </c>
    </row>
    <row r="10" spans="1:7" ht="16" x14ac:dyDescent="0.2">
      <c r="A10" s="2" t="s">
        <v>6</v>
      </c>
      <c r="B10" s="5" t="str">
        <f>""</f>
        <v/>
      </c>
      <c r="C10" s="5" t="str">
        <f>""</f>
        <v/>
      </c>
      <c r="D10" s="5" t="str">
        <f>""</f>
        <v/>
      </c>
      <c r="E10" s="5" t="str">
        <f>"0.101"</f>
        <v>0.101</v>
      </c>
      <c r="F10" s="5" t="str">
        <f>"0.111**"</f>
        <v>0.111**</v>
      </c>
      <c r="G10" s="5" t="str">
        <f>"0.0104"</f>
        <v>0.0104</v>
      </c>
    </row>
    <row r="11" spans="1:7" ht="16" x14ac:dyDescent="0.2">
      <c r="A11" s="5"/>
      <c r="B11" s="5" t="str">
        <f>""</f>
        <v/>
      </c>
      <c r="C11" s="5" t="str">
        <f>""</f>
        <v/>
      </c>
      <c r="D11" s="5" t="str">
        <f>""</f>
        <v/>
      </c>
      <c r="E11" s="5" t="str">
        <f>"(0.0696)"</f>
        <v>(0.0696)</v>
      </c>
      <c r="F11" s="5" t="str">
        <f>"(0.0470)"</f>
        <v>(0.0470)</v>
      </c>
      <c r="G11" s="5" t="str">
        <f>"(0.0210)"</f>
        <v>(0.0210)</v>
      </c>
    </row>
    <row r="12" spans="1:7" ht="16" x14ac:dyDescent="0.2">
      <c r="A12" s="5" t="s">
        <v>7</v>
      </c>
      <c r="B12" s="5" t="str">
        <f>""</f>
        <v/>
      </c>
      <c r="C12" s="5" t="str">
        <f>""</f>
        <v/>
      </c>
      <c r="D12" s="5" t="str">
        <f>""</f>
        <v/>
      </c>
      <c r="E12" s="5" t="str">
        <f>"0.00504"</f>
        <v>0.00504</v>
      </c>
      <c r="F12" s="5" t="str">
        <f>"-0.141**"</f>
        <v>-0.141**</v>
      </c>
      <c r="G12" s="5" t="str">
        <f>"0.00708"</f>
        <v>0.00708</v>
      </c>
    </row>
    <row r="13" spans="1:7" ht="16" x14ac:dyDescent="0.2">
      <c r="A13" s="5"/>
      <c r="B13" s="5" t="str">
        <f>""</f>
        <v/>
      </c>
      <c r="C13" s="5" t="str">
        <f>""</f>
        <v/>
      </c>
      <c r="D13" s="5" t="str">
        <f>""</f>
        <v/>
      </c>
      <c r="E13" s="5" t="str">
        <f>"(0.0643)"</f>
        <v>(0.0643)</v>
      </c>
      <c r="F13" s="5" t="str">
        <f>"(0.0622)"</f>
        <v>(0.0622)</v>
      </c>
      <c r="G13" s="5" t="str">
        <f>"(0.0528)"</f>
        <v>(0.0528)</v>
      </c>
    </row>
    <row r="14" spans="1:7" ht="16" x14ac:dyDescent="0.2">
      <c r="A14" s="5" t="s">
        <v>8</v>
      </c>
      <c r="B14" s="5" t="str">
        <f>""</f>
        <v/>
      </c>
      <c r="C14" s="5" t="str">
        <f>""</f>
        <v/>
      </c>
      <c r="D14" s="5" t="str">
        <f>""</f>
        <v/>
      </c>
      <c r="E14" s="5" t="str">
        <f>"0.0483"</f>
        <v>0.0483</v>
      </c>
      <c r="F14" s="5" t="str">
        <f>"0.00553"</f>
        <v>0.00553</v>
      </c>
      <c r="G14" s="5" t="str">
        <f>"-0.108"</f>
        <v>-0.108</v>
      </c>
    </row>
    <row r="15" spans="1:7" ht="16" x14ac:dyDescent="0.2">
      <c r="A15" s="5"/>
      <c r="B15" s="5" t="str">
        <f>""</f>
        <v/>
      </c>
      <c r="C15" s="5" t="str">
        <f>""</f>
        <v/>
      </c>
      <c r="D15" s="5" t="str">
        <f>""</f>
        <v/>
      </c>
      <c r="E15" s="5" t="str">
        <f>"(0.0858)"</f>
        <v>(0.0858)</v>
      </c>
      <c r="F15" s="5" t="str">
        <f>"(0.102)"</f>
        <v>(0.102)</v>
      </c>
      <c r="G15" s="5" t="str">
        <f>"(0.120)"</f>
        <v>(0.120)</v>
      </c>
    </row>
    <row r="16" spans="1:7" ht="16" x14ac:dyDescent="0.2">
      <c r="A16" s="5" t="s">
        <v>9</v>
      </c>
      <c r="B16" s="5" t="str">
        <f>"0.330***"</f>
        <v>0.330***</v>
      </c>
      <c r="C16" s="5" t="str">
        <f>"0.417***"</f>
        <v>0.417***</v>
      </c>
      <c r="D16" s="5" t="str">
        <f>"0.356***"</f>
        <v>0.356***</v>
      </c>
      <c r="E16" s="5" t="str">
        <f>"0.304***"</f>
        <v>0.304***</v>
      </c>
      <c r="F16" s="5" t="str">
        <f>"0.451***"</f>
        <v>0.451***</v>
      </c>
      <c r="G16" s="5" t="str">
        <f>"0.392***"</f>
        <v>0.392***</v>
      </c>
    </row>
    <row r="17" spans="1:7" ht="16" x14ac:dyDescent="0.2">
      <c r="A17" s="6"/>
      <c r="B17" s="6" t="str">
        <f>"(0.00398)"</f>
        <v>(0.00398)</v>
      </c>
      <c r="C17" s="6" t="str">
        <f>"(0.00428)"</f>
        <v>(0.00428)</v>
      </c>
      <c r="D17" s="6" t="str">
        <f>"(0.00373)"</f>
        <v>(0.00373)</v>
      </c>
      <c r="E17" s="6" t="str">
        <f>"(0.0282)"</f>
        <v>(0.0282)</v>
      </c>
      <c r="F17" s="6" t="str">
        <f>"(0.0558)"</f>
        <v>(0.0558)</v>
      </c>
      <c r="G17" s="6" t="str">
        <f>"(0.105)"</f>
        <v>(0.105)</v>
      </c>
    </row>
    <row r="18" spans="1:7" ht="16" x14ac:dyDescent="0.2">
      <c r="A18" s="4" t="s">
        <v>10</v>
      </c>
      <c r="B18" s="4" t="str">
        <f>"8736"</f>
        <v>8736</v>
      </c>
      <c r="C18" s="4" t="str">
        <f>"6680"</f>
        <v>6680</v>
      </c>
      <c r="D18" s="4" t="str">
        <f>"5129"</f>
        <v>5129</v>
      </c>
      <c r="E18" s="4" t="str">
        <f>"8289"</f>
        <v>8289</v>
      </c>
      <c r="F18" s="4" t="str">
        <f>"6365"</f>
        <v>6365</v>
      </c>
      <c r="G18" s="4" t="str">
        <f>"4945"</f>
        <v>4945</v>
      </c>
    </row>
    <row r="19" spans="1:7" ht="16" x14ac:dyDescent="0.2">
      <c r="A19" s="6" t="s">
        <v>11</v>
      </c>
      <c r="B19" s="6" t="str">
        <f>"0.001"</f>
        <v>0.001</v>
      </c>
      <c r="C19" s="6" t="str">
        <f>"0.009"</f>
        <v>0.009</v>
      </c>
      <c r="D19" s="6" t="str">
        <f>"0.012"</f>
        <v>0.012</v>
      </c>
      <c r="E19" s="6" t="str">
        <f>"0.006"</f>
        <v>0.006</v>
      </c>
      <c r="F19" s="6" t="str">
        <f>"0.018"</f>
        <v>0.018</v>
      </c>
      <c r="G19" s="6" t="str">
        <f>"0.015"</f>
        <v>0.015</v>
      </c>
    </row>
    <row r="20" spans="1:7" x14ac:dyDescent="0.15">
      <c r="A20" s="2" t="str">
        <f>"Standard errors in parentheses"</f>
        <v>Standard errors in parentheses</v>
      </c>
    </row>
    <row r="21" spans="1:7" x14ac:dyDescent="0.15">
      <c r="A21" s="2" t="s">
        <v>12</v>
      </c>
      <c r="B21" s="2" t="s">
        <v>13</v>
      </c>
      <c r="C21" s="2" t="s">
        <v>14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1"/>
  <sheetViews>
    <sheetView workbookViewId="0">
      <selection activeCell="G19" sqref="G19"/>
    </sheetView>
  </sheetViews>
  <sheetFormatPr baseColWidth="10" defaultColWidth="8.6640625" defaultRowHeight="14" x14ac:dyDescent="0.15"/>
  <cols>
    <col min="1" max="1" width="21.83203125" style="2" customWidth="1"/>
    <col min="2" max="7" width="13.5" style="2" customWidth="1"/>
    <col min="8" max="16384" width="8.6640625" style="2"/>
  </cols>
  <sheetData>
    <row r="1" spans="1:7" ht="16" x14ac:dyDescent="0.15">
      <c r="A1" s="7" t="s">
        <v>16</v>
      </c>
    </row>
    <row r="2" spans="1:7" ht="16" x14ac:dyDescent="0.2">
      <c r="A2" s="3" t="str">
        <f>""</f>
        <v/>
      </c>
      <c r="B2" s="3" t="str">
        <f>"(1)"</f>
        <v>(1)</v>
      </c>
      <c r="C2" s="3" t="str">
        <f>"(2)"</f>
        <v>(2)</v>
      </c>
      <c r="D2" s="3" t="str">
        <f>"(3)"</f>
        <v>(3)</v>
      </c>
      <c r="E2" s="3" t="str">
        <f>"(1)"</f>
        <v>(1)</v>
      </c>
      <c r="F2" s="3" t="str">
        <f>"(2)"</f>
        <v>(2)</v>
      </c>
      <c r="G2" s="3" t="str">
        <f>"(3)"</f>
        <v>(3)</v>
      </c>
    </row>
    <row r="3" spans="1:7" ht="16" x14ac:dyDescent="0.2">
      <c r="A3" s="3" t="str">
        <f>""</f>
        <v/>
      </c>
      <c r="B3" s="3" t="s">
        <v>0</v>
      </c>
      <c r="C3" s="3" t="s">
        <v>1</v>
      </c>
      <c r="D3" s="3" t="s">
        <v>2</v>
      </c>
      <c r="E3" s="3" t="s">
        <v>0</v>
      </c>
      <c r="F3" s="3" t="s">
        <v>1</v>
      </c>
      <c r="G3" s="3" t="s">
        <v>2</v>
      </c>
    </row>
    <row r="4" spans="1:7" ht="16" x14ac:dyDescent="0.2">
      <c r="A4" s="4" t="s">
        <v>3</v>
      </c>
      <c r="B4" s="4" t="str">
        <f>"-0.0290***"</f>
        <v>-0.0290***</v>
      </c>
      <c r="C4" s="4" t="str">
        <f>"-0.0485***"</f>
        <v>-0.0485***</v>
      </c>
      <c r="D4" s="4" t="str">
        <f>"-0.0472***"</f>
        <v>-0.0472***</v>
      </c>
      <c r="E4" s="4" t="str">
        <f>"-0.0291***"</f>
        <v>-0.0291***</v>
      </c>
      <c r="F4" s="4" t="str">
        <f>"-0.0478***"</f>
        <v>-0.0478***</v>
      </c>
      <c r="G4" s="4" t="str">
        <f>"-0.0514***"</f>
        <v>-0.0514***</v>
      </c>
    </row>
    <row r="5" spans="1:7" ht="16" x14ac:dyDescent="0.2">
      <c r="A5" s="5"/>
      <c r="B5" s="5" t="str">
        <f>"(0.00988)"</f>
        <v>(0.00988)</v>
      </c>
      <c r="C5" s="5" t="str">
        <f>"(0.00980)"</f>
        <v>(0.00980)</v>
      </c>
      <c r="D5" s="5" t="str">
        <f>"(0.0100)"</f>
        <v>(0.0100)</v>
      </c>
      <c r="E5" s="5" t="str">
        <f>"(0.0102)"</f>
        <v>(0.0102)</v>
      </c>
      <c r="F5" s="5" t="str">
        <f>"(0.00986)"</f>
        <v>(0.00986)</v>
      </c>
      <c r="G5" s="5" t="str">
        <f>"(0.0107)"</f>
        <v>(0.0107)</v>
      </c>
    </row>
    <row r="6" spans="1:7" ht="16" x14ac:dyDescent="0.2">
      <c r="A6" s="5" t="s">
        <v>4</v>
      </c>
      <c r="B6" s="5" t="str">
        <f>""</f>
        <v/>
      </c>
      <c r="C6" s="5" t="str">
        <f>""</f>
        <v/>
      </c>
      <c r="D6" s="5" t="str">
        <f>""</f>
        <v/>
      </c>
      <c r="E6" s="1" t="str">
        <f>"0.0120"</f>
        <v>0.0120</v>
      </c>
      <c r="F6" s="1" t="str">
        <f>"-0.000504"</f>
        <v>-0.000504</v>
      </c>
      <c r="G6" s="1" t="str">
        <f>"-0.0104"</f>
        <v>-0.0104</v>
      </c>
    </row>
    <row r="7" spans="1:7" ht="16" x14ac:dyDescent="0.2">
      <c r="A7" s="5"/>
      <c r="B7" s="5" t="str">
        <f>""</f>
        <v/>
      </c>
      <c r="C7" s="5" t="str">
        <f>""</f>
        <v/>
      </c>
      <c r="D7" s="5" t="str">
        <f>""</f>
        <v/>
      </c>
      <c r="E7" s="1" t="str">
        <f>"(0.00990)"</f>
        <v>(0.00990)</v>
      </c>
      <c r="F7" s="1" t="str">
        <f>"(0.0110)"</f>
        <v>(0.0110)</v>
      </c>
      <c r="G7" s="1" t="str">
        <f>"(0.00937)"</f>
        <v>(0.00937)</v>
      </c>
    </row>
    <row r="8" spans="1:7" ht="16" x14ac:dyDescent="0.2">
      <c r="A8" s="5" t="s">
        <v>5</v>
      </c>
      <c r="B8" s="5" t="str">
        <f>""</f>
        <v/>
      </c>
      <c r="C8" s="5" t="str">
        <f>""</f>
        <v/>
      </c>
      <c r="D8" s="5" t="str">
        <f>""</f>
        <v/>
      </c>
      <c r="E8" s="5" t="str">
        <f>"0.0562*"</f>
        <v>0.0562*</v>
      </c>
      <c r="F8" s="5" t="str">
        <f>"-0.0206"</f>
        <v>-0.0206</v>
      </c>
      <c r="G8" s="5" t="str">
        <f>"0.0215"</f>
        <v>0.0215</v>
      </c>
    </row>
    <row r="9" spans="1:7" ht="16" x14ac:dyDescent="0.2">
      <c r="A9" s="5"/>
      <c r="B9" s="5" t="str">
        <f>""</f>
        <v/>
      </c>
      <c r="C9" s="5" t="str">
        <f>""</f>
        <v/>
      </c>
      <c r="D9" s="5" t="str">
        <f>""</f>
        <v/>
      </c>
      <c r="E9" s="5" t="str">
        <f>"(0.0291)"</f>
        <v>(0.0291)</v>
      </c>
      <c r="F9" s="5" t="str">
        <f>"(0.0215)"</f>
        <v>(0.0215)</v>
      </c>
      <c r="G9" s="5" t="str">
        <f>"(0.0201)"</f>
        <v>(0.0201)</v>
      </c>
    </row>
    <row r="10" spans="1:7" ht="16" x14ac:dyDescent="0.2">
      <c r="A10" s="2" t="s">
        <v>6</v>
      </c>
      <c r="B10" s="5" t="str">
        <f>""</f>
        <v/>
      </c>
      <c r="C10" s="5" t="str">
        <f>""</f>
        <v/>
      </c>
      <c r="D10" s="5" t="str">
        <f>""</f>
        <v/>
      </c>
      <c r="E10" s="5" t="str">
        <f>"0.0732**"</f>
        <v>0.0732**</v>
      </c>
      <c r="F10" s="5" t="str">
        <f>"0.00615"</f>
        <v>0.00615</v>
      </c>
      <c r="G10" s="5" t="str">
        <f>"0.0118"</f>
        <v>0.0118</v>
      </c>
    </row>
    <row r="11" spans="1:7" ht="16" x14ac:dyDescent="0.2">
      <c r="A11" s="5"/>
      <c r="B11" s="5" t="str">
        <f>""</f>
        <v/>
      </c>
      <c r="C11" s="5" t="str">
        <f>""</f>
        <v/>
      </c>
      <c r="D11" s="5" t="str">
        <f>""</f>
        <v/>
      </c>
      <c r="E11" s="5" t="str">
        <f>"(0.0358)"</f>
        <v>(0.0358)</v>
      </c>
      <c r="F11" s="5" t="str">
        <f>"(0.0240)"</f>
        <v>(0.0240)</v>
      </c>
      <c r="G11" s="5" t="str">
        <f>"(0.0150)"</f>
        <v>(0.0150)</v>
      </c>
    </row>
    <row r="12" spans="1:7" ht="16" x14ac:dyDescent="0.2">
      <c r="A12" s="5" t="s">
        <v>7</v>
      </c>
      <c r="B12" s="5" t="str">
        <f>""</f>
        <v/>
      </c>
      <c r="C12" s="5" t="str">
        <f>""</f>
        <v/>
      </c>
      <c r="D12" s="5" t="str">
        <f>""</f>
        <v/>
      </c>
      <c r="E12" s="5" t="str">
        <f>"0.0176"</f>
        <v>0.0176</v>
      </c>
      <c r="F12" s="5" t="str">
        <f>"-0.0220"</f>
        <v>-0.0220</v>
      </c>
      <c r="G12" s="5" t="str">
        <f>"-0.0851***"</f>
        <v>-0.0851***</v>
      </c>
    </row>
    <row r="13" spans="1:7" ht="16" x14ac:dyDescent="0.2">
      <c r="A13" s="5"/>
      <c r="B13" s="5" t="str">
        <f>""</f>
        <v/>
      </c>
      <c r="C13" s="5" t="str">
        <f>""</f>
        <v/>
      </c>
      <c r="D13" s="5" t="str">
        <f>""</f>
        <v/>
      </c>
      <c r="E13" s="5" t="str">
        <f>"(0.0336)"</f>
        <v>(0.0336)</v>
      </c>
      <c r="F13" s="5" t="str">
        <f>"(0.0300)"</f>
        <v>(0.0300)</v>
      </c>
      <c r="G13" s="5" t="str">
        <f>"(0.0324)"</f>
        <v>(0.0324)</v>
      </c>
    </row>
    <row r="14" spans="1:7" ht="16" x14ac:dyDescent="0.2">
      <c r="A14" s="5" t="s">
        <v>8</v>
      </c>
      <c r="B14" s="5" t="str">
        <f>""</f>
        <v/>
      </c>
      <c r="C14" s="5" t="str">
        <f>""</f>
        <v/>
      </c>
      <c r="D14" s="5" t="str">
        <f>""</f>
        <v/>
      </c>
      <c r="E14" s="5" t="str">
        <f>"0.0558"</f>
        <v>0.0558</v>
      </c>
      <c r="F14" s="5" t="str">
        <f>"0.0428"</f>
        <v>0.0428</v>
      </c>
      <c r="G14" s="5" t="str">
        <f>"0.00318"</f>
        <v>0.00318</v>
      </c>
    </row>
    <row r="15" spans="1:7" ht="16" x14ac:dyDescent="0.2">
      <c r="A15" s="5"/>
      <c r="B15" s="5" t="str">
        <f>""</f>
        <v/>
      </c>
      <c r="C15" s="5" t="str">
        <f>""</f>
        <v/>
      </c>
      <c r="D15" s="5" t="str">
        <f>""</f>
        <v/>
      </c>
      <c r="E15" s="5" t="str">
        <f>"(0.0450)"</f>
        <v>(0.0450)</v>
      </c>
      <c r="F15" s="5" t="str">
        <f>"(0.0425)"</f>
        <v>(0.0425)</v>
      </c>
      <c r="G15" s="5" t="str">
        <f>"(0.0387)"</f>
        <v>(0.0387)</v>
      </c>
    </row>
    <row r="16" spans="1:7" ht="16" x14ac:dyDescent="0.2">
      <c r="A16" s="5" t="s">
        <v>9</v>
      </c>
      <c r="B16" s="5" t="str">
        <f>"0.326***"</f>
        <v>0.326***</v>
      </c>
      <c r="C16" s="5" t="str">
        <f>"0.212***"</f>
        <v>0.212***</v>
      </c>
      <c r="D16" s="5" t="str">
        <f>"0.181***"</f>
        <v>0.181***</v>
      </c>
      <c r="E16" s="5" t="str">
        <f>"0.302***"</f>
        <v>0.302***</v>
      </c>
      <c r="F16" s="5" t="str">
        <f>"0.215***"</f>
        <v>0.215***</v>
      </c>
      <c r="G16" s="5" t="str">
        <f>"0.191***"</f>
        <v>0.191***</v>
      </c>
    </row>
    <row r="17" spans="1:7" ht="16" x14ac:dyDescent="0.2">
      <c r="A17" s="6"/>
      <c r="B17" s="6" t="str">
        <f>"(0.00203)"</f>
        <v>(0.00203)</v>
      </c>
      <c r="C17" s="6" t="str">
        <f>"(0.00182)"</f>
        <v>(0.00182)</v>
      </c>
      <c r="D17" s="6" t="str">
        <f>"(0.00201)"</f>
        <v>(0.00201)</v>
      </c>
      <c r="E17" s="6" t="str">
        <f>"(0.0164)"</f>
        <v>(0.0164)</v>
      </c>
      <c r="F17" s="6" t="str">
        <f>"(0.0223)"</f>
        <v>(0.0223)</v>
      </c>
      <c r="G17" s="6" t="str">
        <f>"(0.0349)"</f>
        <v>(0.0349)</v>
      </c>
    </row>
    <row r="18" spans="1:7" ht="16" x14ac:dyDescent="0.2">
      <c r="A18" s="4" t="s">
        <v>10</v>
      </c>
      <c r="B18" s="4" t="str">
        <f>"11577"</f>
        <v>11577</v>
      </c>
      <c r="C18" s="4" t="str">
        <f>"9006"</f>
        <v>9006</v>
      </c>
      <c r="D18" s="4" t="str">
        <f>"6860"</f>
        <v>6860</v>
      </c>
      <c r="E18" s="4" t="str">
        <f>"11058"</f>
        <v>11058</v>
      </c>
      <c r="F18" s="4" t="str">
        <f>"8622"</f>
        <v>8622</v>
      </c>
      <c r="G18" s="4" t="str">
        <f>"6645"</f>
        <v>6645</v>
      </c>
    </row>
    <row r="19" spans="1:7" ht="16" x14ac:dyDescent="0.2">
      <c r="A19" s="6" t="s">
        <v>11</v>
      </c>
      <c r="B19" s="6" t="str">
        <f>"0.003"</f>
        <v>0.003</v>
      </c>
      <c r="C19" s="6" t="str">
        <f>"0.008"</f>
        <v>0.008</v>
      </c>
      <c r="D19" s="6" t="str">
        <f>"0.008"</f>
        <v>0.008</v>
      </c>
      <c r="E19" s="6" t="str">
        <f>"0.007"</f>
        <v>0.007</v>
      </c>
      <c r="F19" s="6" t="str">
        <f>"0.009"</f>
        <v>0.009</v>
      </c>
      <c r="G19" s="6" t="str">
        <f>"0.014"</f>
        <v>0.014</v>
      </c>
    </row>
    <row r="20" spans="1:7" x14ac:dyDescent="0.15">
      <c r="A20" s="2" t="str">
        <f>"Standard errors in parentheses"</f>
        <v>Standard errors in parentheses</v>
      </c>
    </row>
    <row r="21" spans="1:7" x14ac:dyDescent="0.15">
      <c r="A21" s="2" t="s">
        <v>12</v>
      </c>
      <c r="B21" s="2" t="s">
        <v>13</v>
      </c>
      <c r="C21" s="2" t="s">
        <v>14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1"/>
  <sheetViews>
    <sheetView zoomScale="125" zoomScaleNormal="125" workbookViewId="0"/>
  </sheetViews>
  <sheetFormatPr baseColWidth="10" defaultColWidth="8.83203125" defaultRowHeight="16" x14ac:dyDescent="0.2"/>
  <cols>
    <col min="1" max="1" width="22.1640625" customWidth="1"/>
    <col min="2" max="2" width="14.83203125" customWidth="1"/>
    <col min="3" max="3" width="13.5" style="9" customWidth="1"/>
  </cols>
  <sheetData>
    <row r="1" spans="1:1" x14ac:dyDescent="0.2">
      <c r="A1" s="1" t="s">
        <v>74</v>
      </c>
    </row>
    <row r="20" spans="1:3" x14ac:dyDescent="0.2">
      <c r="A20" s="48" t="s">
        <v>66</v>
      </c>
    </row>
    <row r="21" spans="1:3" x14ac:dyDescent="0.2">
      <c r="A21" s="10" t="s">
        <v>72</v>
      </c>
    </row>
    <row r="22" spans="1:3" x14ac:dyDescent="0.2">
      <c r="A22" s="10" t="s">
        <v>26</v>
      </c>
    </row>
    <row r="25" spans="1:3" ht="17" x14ac:dyDescent="0.2">
      <c r="A25" s="49" t="s">
        <v>27</v>
      </c>
      <c r="B25" s="50" t="s">
        <v>68</v>
      </c>
      <c r="C25" s="51" t="s">
        <v>67</v>
      </c>
    </row>
    <row r="26" spans="1:3" x14ac:dyDescent="0.2">
      <c r="A26" s="49" t="s">
        <v>30</v>
      </c>
      <c r="B26" s="14">
        <v>0.71</v>
      </c>
      <c r="C26" s="52">
        <v>0.67511588335037231</v>
      </c>
    </row>
    <row r="27" spans="1:3" x14ac:dyDescent="0.2">
      <c r="A27" s="5" t="s">
        <v>31</v>
      </c>
      <c r="B27" s="15">
        <v>0.57999999999999996</v>
      </c>
      <c r="C27" s="15">
        <v>0.5</v>
      </c>
    </row>
    <row r="28" spans="1:3" x14ac:dyDescent="0.2">
      <c r="A28" s="5" t="s">
        <v>32</v>
      </c>
      <c r="B28" s="15">
        <v>0.42</v>
      </c>
      <c r="C28" s="15">
        <v>0.36639779806137079</v>
      </c>
    </row>
    <row r="29" spans="1:3" x14ac:dyDescent="0.2">
      <c r="A29" s="5" t="s">
        <v>33</v>
      </c>
      <c r="B29" s="15">
        <v>0.3</v>
      </c>
      <c r="C29" s="15">
        <v>0.3</v>
      </c>
    </row>
    <row r="30" spans="1:3" x14ac:dyDescent="0.2">
      <c r="A30" s="5" t="s">
        <v>34</v>
      </c>
      <c r="B30" s="15">
        <v>0.14000000000000001</v>
      </c>
      <c r="C30" s="15">
        <v>0.1576593071222305</v>
      </c>
    </row>
    <row r="31" spans="1:3" x14ac:dyDescent="0.2">
      <c r="A31" s="16" t="s">
        <v>35</v>
      </c>
      <c r="B31" s="17">
        <v>0.41</v>
      </c>
      <c r="C31" s="17">
        <v>0.36091139999999999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7"/>
  <sheetViews>
    <sheetView zoomScale="125" zoomScaleNormal="125" workbookViewId="0"/>
  </sheetViews>
  <sheetFormatPr baseColWidth="10" defaultColWidth="8.83203125" defaultRowHeight="15" x14ac:dyDescent="0.2"/>
  <cols>
    <col min="1" max="1" width="22.5" bestFit="1" customWidth="1"/>
  </cols>
  <sheetData>
    <row r="1" spans="1:10" ht="16" x14ac:dyDescent="0.2">
      <c r="A1" s="7" t="s">
        <v>69</v>
      </c>
    </row>
    <row r="4" spans="1:10" ht="16" x14ac:dyDescent="0.2">
      <c r="G4" s="18"/>
      <c r="J4" s="1"/>
    </row>
    <row r="7" spans="1:10" x14ac:dyDescent="0.2">
      <c r="D7" s="19"/>
      <c r="E7" s="19"/>
    </row>
    <row r="8" spans="1:10" x14ac:dyDescent="0.2">
      <c r="B8" s="20"/>
      <c r="C8" s="20"/>
      <c r="D8" s="20"/>
      <c r="E8" s="21"/>
      <c r="F8" s="22"/>
    </row>
    <row r="9" spans="1:10" x14ac:dyDescent="0.2">
      <c r="B9" s="23"/>
      <c r="C9" s="23"/>
      <c r="D9" s="21"/>
      <c r="E9" s="21"/>
      <c r="F9" s="22"/>
    </row>
    <row r="10" spans="1:10" x14ac:dyDescent="0.2">
      <c r="B10" s="20"/>
      <c r="C10" s="20"/>
      <c r="D10" s="20"/>
      <c r="E10" s="21"/>
    </row>
    <row r="11" spans="1:10" x14ac:dyDescent="0.2">
      <c r="B11" s="20"/>
      <c r="C11" s="20"/>
      <c r="D11" s="20"/>
      <c r="E11" s="21"/>
    </row>
    <row r="12" spans="1:10" x14ac:dyDescent="0.2">
      <c r="E12" s="24"/>
    </row>
    <row r="14" spans="1:10" x14ac:dyDescent="0.2">
      <c r="B14" s="23"/>
      <c r="C14" s="23"/>
      <c r="D14" s="23"/>
      <c r="E14" s="23"/>
      <c r="F14" s="23"/>
    </row>
    <row r="15" spans="1:10" x14ac:dyDescent="0.2">
      <c r="B15" s="23"/>
      <c r="C15" s="23"/>
      <c r="D15" s="23"/>
      <c r="E15" s="23"/>
      <c r="F15" s="23"/>
    </row>
    <row r="16" spans="1:10" x14ac:dyDescent="0.2">
      <c r="B16" s="23"/>
      <c r="C16" s="23"/>
      <c r="D16" s="23"/>
      <c r="E16" s="23"/>
      <c r="F16" s="23"/>
    </row>
    <row r="18" spans="1:7" x14ac:dyDescent="0.2">
      <c r="B18" s="55"/>
      <c r="C18" s="55"/>
      <c r="D18" s="55"/>
      <c r="E18" s="55"/>
      <c r="F18" s="25"/>
    </row>
    <row r="20" spans="1:7" x14ac:dyDescent="0.2">
      <c r="B20" s="23"/>
      <c r="C20" s="23"/>
      <c r="D20" s="23"/>
      <c r="E20" s="23"/>
      <c r="F20" s="23"/>
    </row>
    <row r="21" spans="1:7" x14ac:dyDescent="0.2">
      <c r="A21" s="10" t="s">
        <v>71</v>
      </c>
      <c r="B21" s="23"/>
      <c r="C21" s="23"/>
      <c r="D21" s="23"/>
      <c r="E21" s="23"/>
      <c r="F21" s="23"/>
    </row>
    <row r="22" spans="1:7" x14ac:dyDescent="0.2">
      <c r="A22" s="10" t="s">
        <v>26</v>
      </c>
    </row>
    <row r="23" spans="1:7" x14ac:dyDescent="0.2">
      <c r="A23" s="10"/>
    </row>
    <row r="25" spans="1:7" ht="16" x14ac:dyDescent="0.2">
      <c r="A25" s="3" t="s">
        <v>36</v>
      </c>
      <c r="B25" s="26">
        <v>2018</v>
      </c>
      <c r="C25" s="26">
        <v>2019</v>
      </c>
      <c r="D25" s="27">
        <v>43941</v>
      </c>
      <c r="E25" s="27">
        <v>44032</v>
      </c>
      <c r="F25" s="27">
        <v>44155</v>
      </c>
      <c r="G25" s="26">
        <v>2021</v>
      </c>
    </row>
    <row r="26" spans="1:7" ht="16" x14ac:dyDescent="0.2">
      <c r="A26" s="5" t="s">
        <v>37</v>
      </c>
      <c r="B26" s="28">
        <v>0.41</v>
      </c>
      <c r="C26" s="28">
        <v>0.41</v>
      </c>
      <c r="D26" s="28">
        <v>0.3257949</v>
      </c>
      <c r="E26" s="28">
        <v>0.30657289999999998</v>
      </c>
      <c r="F26" s="28">
        <v>0.37215169999999997</v>
      </c>
      <c r="G26" s="52">
        <v>0.36322559999999998</v>
      </c>
    </row>
    <row r="27" spans="1:7" ht="16" x14ac:dyDescent="0.2">
      <c r="A27" s="6" t="s">
        <v>38</v>
      </c>
      <c r="B27" s="29"/>
      <c r="C27" s="29"/>
      <c r="D27" s="30">
        <v>0.51406410000000002</v>
      </c>
      <c r="E27" s="30">
        <v>0.3634307</v>
      </c>
      <c r="F27" s="30">
        <v>0.54704980000000003</v>
      </c>
      <c r="G27" s="56"/>
    </row>
  </sheetData>
  <mergeCells count="2">
    <mergeCell ref="B18:C18"/>
    <mergeCell ref="D18:E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2"/>
  <sheetViews>
    <sheetView zoomScale="125" zoomScaleNormal="125" workbookViewId="0"/>
  </sheetViews>
  <sheetFormatPr baseColWidth="10" defaultColWidth="8.83203125" defaultRowHeight="13" x14ac:dyDescent="0.15"/>
  <cols>
    <col min="1" max="1" width="9.1640625" style="43"/>
    <col min="2" max="2" width="10.5" style="54" bestFit="1" customWidth="1"/>
    <col min="3" max="3" width="10" style="54" customWidth="1"/>
    <col min="4" max="4" width="9.6640625" style="54" customWidth="1"/>
    <col min="5" max="5" width="8.6640625" style="54" customWidth="1"/>
    <col min="6" max="7" width="9.1640625" style="54"/>
    <col min="8" max="9" width="9.1640625" style="43"/>
    <col min="10" max="10" width="10.5" style="43" bestFit="1" customWidth="1"/>
    <col min="11" max="257" width="9.1640625" style="43"/>
    <col min="258" max="258" width="10.5" style="43" bestFit="1" customWidth="1"/>
    <col min="259" max="259" width="10" style="43" customWidth="1"/>
    <col min="260" max="260" width="9.6640625" style="43" customWidth="1"/>
    <col min="261" max="261" width="8.6640625" style="43" customWidth="1"/>
    <col min="262" max="265" width="9.1640625" style="43"/>
    <col min="266" max="266" width="10.5" style="43" bestFit="1" customWidth="1"/>
    <col min="267" max="513" width="9.1640625" style="43"/>
    <col min="514" max="514" width="10.5" style="43" bestFit="1" customWidth="1"/>
    <col min="515" max="515" width="10" style="43" customWidth="1"/>
    <col min="516" max="516" width="9.6640625" style="43" customWidth="1"/>
    <col min="517" max="517" width="8.6640625" style="43" customWidth="1"/>
    <col min="518" max="521" width="9.1640625" style="43"/>
    <col min="522" max="522" width="10.5" style="43" bestFit="1" customWidth="1"/>
    <col min="523" max="769" width="9.1640625" style="43"/>
    <col min="770" max="770" width="10.5" style="43" bestFit="1" customWidth="1"/>
    <col min="771" max="771" width="10" style="43" customWidth="1"/>
    <col min="772" max="772" width="9.6640625" style="43" customWidth="1"/>
    <col min="773" max="773" width="8.6640625" style="43" customWidth="1"/>
    <col min="774" max="777" width="9.1640625" style="43"/>
    <col min="778" max="778" width="10.5" style="43" bestFit="1" customWidth="1"/>
    <col min="779" max="1025" width="9.1640625" style="43"/>
    <col min="1026" max="1026" width="10.5" style="43" bestFit="1" customWidth="1"/>
    <col min="1027" max="1027" width="10" style="43" customWidth="1"/>
    <col min="1028" max="1028" width="9.6640625" style="43" customWidth="1"/>
    <col min="1029" max="1029" width="8.6640625" style="43" customWidth="1"/>
    <col min="1030" max="1033" width="9.1640625" style="43"/>
    <col min="1034" max="1034" width="10.5" style="43" bestFit="1" customWidth="1"/>
    <col min="1035" max="1281" width="9.1640625" style="43"/>
    <col min="1282" max="1282" width="10.5" style="43" bestFit="1" customWidth="1"/>
    <col min="1283" max="1283" width="10" style="43" customWidth="1"/>
    <col min="1284" max="1284" width="9.6640625" style="43" customWidth="1"/>
    <col min="1285" max="1285" width="8.6640625" style="43" customWidth="1"/>
    <col min="1286" max="1289" width="9.1640625" style="43"/>
    <col min="1290" max="1290" width="10.5" style="43" bestFit="1" customWidth="1"/>
    <col min="1291" max="1537" width="9.1640625" style="43"/>
    <col min="1538" max="1538" width="10.5" style="43" bestFit="1" customWidth="1"/>
    <col min="1539" max="1539" width="10" style="43" customWidth="1"/>
    <col min="1540" max="1540" width="9.6640625" style="43" customWidth="1"/>
    <col min="1541" max="1541" width="8.6640625" style="43" customWidth="1"/>
    <col min="1542" max="1545" width="9.1640625" style="43"/>
    <col min="1546" max="1546" width="10.5" style="43" bestFit="1" customWidth="1"/>
    <col min="1547" max="1793" width="9.1640625" style="43"/>
    <col min="1794" max="1794" width="10.5" style="43" bestFit="1" customWidth="1"/>
    <col min="1795" max="1795" width="10" style="43" customWidth="1"/>
    <col min="1796" max="1796" width="9.6640625" style="43" customWidth="1"/>
    <col min="1797" max="1797" width="8.6640625" style="43" customWidth="1"/>
    <col min="1798" max="1801" width="9.1640625" style="43"/>
    <col min="1802" max="1802" width="10.5" style="43" bestFit="1" customWidth="1"/>
    <col min="1803" max="2049" width="9.1640625" style="43"/>
    <col min="2050" max="2050" width="10.5" style="43" bestFit="1" customWidth="1"/>
    <col min="2051" max="2051" width="10" style="43" customWidth="1"/>
    <col min="2052" max="2052" width="9.6640625" style="43" customWidth="1"/>
    <col min="2053" max="2053" width="8.6640625" style="43" customWidth="1"/>
    <col min="2054" max="2057" width="9.1640625" style="43"/>
    <col min="2058" max="2058" width="10.5" style="43" bestFit="1" customWidth="1"/>
    <col min="2059" max="2305" width="9.1640625" style="43"/>
    <col min="2306" max="2306" width="10.5" style="43" bestFit="1" customWidth="1"/>
    <col min="2307" max="2307" width="10" style="43" customWidth="1"/>
    <col min="2308" max="2308" width="9.6640625" style="43" customWidth="1"/>
    <col min="2309" max="2309" width="8.6640625" style="43" customWidth="1"/>
    <col min="2310" max="2313" width="9.1640625" style="43"/>
    <col min="2314" max="2314" width="10.5" style="43" bestFit="1" customWidth="1"/>
    <col min="2315" max="2561" width="9.1640625" style="43"/>
    <col min="2562" max="2562" width="10.5" style="43" bestFit="1" customWidth="1"/>
    <col min="2563" max="2563" width="10" style="43" customWidth="1"/>
    <col min="2564" max="2564" width="9.6640625" style="43" customWidth="1"/>
    <col min="2565" max="2565" width="8.6640625" style="43" customWidth="1"/>
    <col min="2566" max="2569" width="9.1640625" style="43"/>
    <col min="2570" max="2570" width="10.5" style="43" bestFit="1" customWidth="1"/>
    <col min="2571" max="2817" width="9.1640625" style="43"/>
    <col min="2818" max="2818" width="10.5" style="43" bestFit="1" customWidth="1"/>
    <col min="2819" max="2819" width="10" style="43" customWidth="1"/>
    <col min="2820" max="2820" width="9.6640625" style="43" customWidth="1"/>
    <col min="2821" max="2821" width="8.6640625" style="43" customWidth="1"/>
    <col min="2822" max="2825" width="9.1640625" style="43"/>
    <col min="2826" max="2826" width="10.5" style="43" bestFit="1" customWidth="1"/>
    <col min="2827" max="3073" width="9.1640625" style="43"/>
    <col min="3074" max="3074" width="10.5" style="43" bestFit="1" customWidth="1"/>
    <col min="3075" max="3075" width="10" style="43" customWidth="1"/>
    <col min="3076" max="3076" width="9.6640625" style="43" customWidth="1"/>
    <col min="3077" max="3077" width="8.6640625" style="43" customWidth="1"/>
    <col min="3078" max="3081" width="9.1640625" style="43"/>
    <col min="3082" max="3082" width="10.5" style="43" bestFit="1" customWidth="1"/>
    <col min="3083" max="3329" width="9.1640625" style="43"/>
    <col min="3330" max="3330" width="10.5" style="43" bestFit="1" customWidth="1"/>
    <col min="3331" max="3331" width="10" style="43" customWidth="1"/>
    <col min="3332" max="3332" width="9.6640625" style="43" customWidth="1"/>
    <col min="3333" max="3333" width="8.6640625" style="43" customWidth="1"/>
    <col min="3334" max="3337" width="9.1640625" style="43"/>
    <col min="3338" max="3338" width="10.5" style="43" bestFit="1" customWidth="1"/>
    <col min="3339" max="3585" width="9.1640625" style="43"/>
    <col min="3586" max="3586" width="10.5" style="43" bestFit="1" customWidth="1"/>
    <col min="3587" max="3587" width="10" style="43" customWidth="1"/>
    <col min="3588" max="3588" width="9.6640625" style="43" customWidth="1"/>
    <col min="3589" max="3589" width="8.6640625" style="43" customWidth="1"/>
    <col min="3590" max="3593" width="9.1640625" style="43"/>
    <col min="3594" max="3594" width="10.5" style="43" bestFit="1" customWidth="1"/>
    <col min="3595" max="3841" width="9.1640625" style="43"/>
    <col min="3842" max="3842" width="10.5" style="43" bestFit="1" customWidth="1"/>
    <col min="3843" max="3843" width="10" style="43" customWidth="1"/>
    <col min="3844" max="3844" width="9.6640625" style="43" customWidth="1"/>
    <col min="3845" max="3845" width="8.6640625" style="43" customWidth="1"/>
    <col min="3846" max="3849" width="9.1640625" style="43"/>
    <col min="3850" max="3850" width="10.5" style="43" bestFit="1" customWidth="1"/>
    <col min="3851" max="4097" width="9.1640625" style="43"/>
    <col min="4098" max="4098" width="10.5" style="43" bestFit="1" customWidth="1"/>
    <col min="4099" max="4099" width="10" style="43" customWidth="1"/>
    <col min="4100" max="4100" width="9.6640625" style="43" customWidth="1"/>
    <col min="4101" max="4101" width="8.6640625" style="43" customWidth="1"/>
    <col min="4102" max="4105" width="9.1640625" style="43"/>
    <col min="4106" max="4106" width="10.5" style="43" bestFit="1" customWidth="1"/>
    <col min="4107" max="4353" width="9.1640625" style="43"/>
    <col min="4354" max="4354" width="10.5" style="43" bestFit="1" customWidth="1"/>
    <col min="4355" max="4355" width="10" style="43" customWidth="1"/>
    <col min="4356" max="4356" width="9.6640625" style="43" customWidth="1"/>
    <col min="4357" max="4357" width="8.6640625" style="43" customWidth="1"/>
    <col min="4358" max="4361" width="9.1640625" style="43"/>
    <col min="4362" max="4362" width="10.5" style="43" bestFit="1" customWidth="1"/>
    <col min="4363" max="4609" width="9.1640625" style="43"/>
    <col min="4610" max="4610" width="10.5" style="43" bestFit="1" customWidth="1"/>
    <col min="4611" max="4611" width="10" style="43" customWidth="1"/>
    <col min="4612" max="4612" width="9.6640625" style="43" customWidth="1"/>
    <col min="4613" max="4613" width="8.6640625" style="43" customWidth="1"/>
    <col min="4614" max="4617" width="9.1640625" style="43"/>
    <col min="4618" max="4618" width="10.5" style="43" bestFit="1" customWidth="1"/>
    <col min="4619" max="4865" width="9.1640625" style="43"/>
    <col min="4866" max="4866" width="10.5" style="43" bestFit="1" customWidth="1"/>
    <col min="4867" max="4867" width="10" style="43" customWidth="1"/>
    <col min="4868" max="4868" width="9.6640625" style="43" customWidth="1"/>
    <col min="4869" max="4869" width="8.6640625" style="43" customWidth="1"/>
    <col min="4870" max="4873" width="9.1640625" style="43"/>
    <col min="4874" max="4874" width="10.5" style="43" bestFit="1" customWidth="1"/>
    <col min="4875" max="5121" width="9.1640625" style="43"/>
    <col min="5122" max="5122" width="10.5" style="43" bestFit="1" customWidth="1"/>
    <col min="5123" max="5123" width="10" style="43" customWidth="1"/>
    <col min="5124" max="5124" width="9.6640625" style="43" customWidth="1"/>
    <col min="5125" max="5125" width="8.6640625" style="43" customWidth="1"/>
    <col min="5126" max="5129" width="9.1640625" style="43"/>
    <col min="5130" max="5130" width="10.5" style="43" bestFit="1" customWidth="1"/>
    <col min="5131" max="5377" width="9.1640625" style="43"/>
    <col min="5378" max="5378" width="10.5" style="43" bestFit="1" customWidth="1"/>
    <col min="5379" max="5379" width="10" style="43" customWidth="1"/>
    <col min="5380" max="5380" width="9.6640625" style="43" customWidth="1"/>
    <col min="5381" max="5381" width="8.6640625" style="43" customWidth="1"/>
    <col min="5382" max="5385" width="9.1640625" style="43"/>
    <col min="5386" max="5386" width="10.5" style="43" bestFit="1" customWidth="1"/>
    <col min="5387" max="5633" width="9.1640625" style="43"/>
    <col min="5634" max="5634" width="10.5" style="43" bestFit="1" customWidth="1"/>
    <col min="5635" max="5635" width="10" style="43" customWidth="1"/>
    <col min="5636" max="5636" width="9.6640625" style="43" customWidth="1"/>
    <col min="5637" max="5637" width="8.6640625" style="43" customWidth="1"/>
    <col min="5638" max="5641" width="9.1640625" style="43"/>
    <col min="5642" max="5642" width="10.5" style="43" bestFit="1" customWidth="1"/>
    <col min="5643" max="5889" width="9.1640625" style="43"/>
    <col min="5890" max="5890" width="10.5" style="43" bestFit="1" customWidth="1"/>
    <col min="5891" max="5891" width="10" style="43" customWidth="1"/>
    <col min="5892" max="5892" width="9.6640625" style="43" customWidth="1"/>
    <col min="5893" max="5893" width="8.6640625" style="43" customWidth="1"/>
    <col min="5894" max="5897" width="9.1640625" style="43"/>
    <col min="5898" max="5898" width="10.5" style="43" bestFit="1" customWidth="1"/>
    <col min="5899" max="6145" width="9.1640625" style="43"/>
    <col min="6146" max="6146" width="10.5" style="43" bestFit="1" customWidth="1"/>
    <col min="6147" max="6147" width="10" style="43" customWidth="1"/>
    <col min="6148" max="6148" width="9.6640625" style="43" customWidth="1"/>
    <col min="6149" max="6149" width="8.6640625" style="43" customWidth="1"/>
    <col min="6150" max="6153" width="9.1640625" style="43"/>
    <col min="6154" max="6154" width="10.5" style="43" bestFit="1" customWidth="1"/>
    <col min="6155" max="6401" width="9.1640625" style="43"/>
    <col min="6402" max="6402" width="10.5" style="43" bestFit="1" customWidth="1"/>
    <col min="6403" max="6403" width="10" style="43" customWidth="1"/>
    <col min="6404" max="6404" width="9.6640625" style="43" customWidth="1"/>
    <col min="6405" max="6405" width="8.6640625" style="43" customWidth="1"/>
    <col min="6406" max="6409" width="9.1640625" style="43"/>
    <col min="6410" max="6410" width="10.5" style="43" bestFit="1" customWidth="1"/>
    <col min="6411" max="6657" width="9.1640625" style="43"/>
    <col min="6658" max="6658" width="10.5" style="43" bestFit="1" customWidth="1"/>
    <col min="6659" max="6659" width="10" style="43" customWidth="1"/>
    <col min="6660" max="6660" width="9.6640625" style="43" customWidth="1"/>
    <col min="6661" max="6661" width="8.6640625" style="43" customWidth="1"/>
    <col min="6662" max="6665" width="9.1640625" style="43"/>
    <col min="6666" max="6666" width="10.5" style="43" bestFit="1" customWidth="1"/>
    <col min="6667" max="6913" width="9.1640625" style="43"/>
    <col min="6914" max="6914" width="10.5" style="43" bestFit="1" customWidth="1"/>
    <col min="6915" max="6915" width="10" style="43" customWidth="1"/>
    <col min="6916" max="6916" width="9.6640625" style="43" customWidth="1"/>
    <col min="6917" max="6917" width="8.6640625" style="43" customWidth="1"/>
    <col min="6918" max="6921" width="9.1640625" style="43"/>
    <col min="6922" max="6922" width="10.5" style="43" bestFit="1" customWidth="1"/>
    <col min="6923" max="7169" width="9.1640625" style="43"/>
    <col min="7170" max="7170" width="10.5" style="43" bestFit="1" customWidth="1"/>
    <col min="7171" max="7171" width="10" style="43" customWidth="1"/>
    <col min="7172" max="7172" width="9.6640625" style="43" customWidth="1"/>
    <col min="7173" max="7173" width="8.6640625" style="43" customWidth="1"/>
    <col min="7174" max="7177" width="9.1640625" style="43"/>
    <col min="7178" max="7178" width="10.5" style="43" bestFit="1" customWidth="1"/>
    <col min="7179" max="7425" width="9.1640625" style="43"/>
    <col min="7426" max="7426" width="10.5" style="43" bestFit="1" customWidth="1"/>
    <col min="7427" max="7427" width="10" style="43" customWidth="1"/>
    <col min="7428" max="7428" width="9.6640625" style="43" customWidth="1"/>
    <col min="7429" max="7429" width="8.6640625" style="43" customWidth="1"/>
    <col min="7430" max="7433" width="9.1640625" style="43"/>
    <col min="7434" max="7434" width="10.5" style="43" bestFit="1" customWidth="1"/>
    <col min="7435" max="7681" width="9.1640625" style="43"/>
    <col min="7682" max="7682" width="10.5" style="43" bestFit="1" customWidth="1"/>
    <col min="7683" max="7683" width="10" style="43" customWidth="1"/>
    <col min="7684" max="7684" width="9.6640625" style="43" customWidth="1"/>
    <col min="7685" max="7685" width="8.6640625" style="43" customWidth="1"/>
    <col min="7686" max="7689" width="9.1640625" style="43"/>
    <col min="7690" max="7690" width="10.5" style="43" bestFit="1" customWidth="1"/>
    <col min="7691" max="7937" width="9.1640625" style="43"/>
    <col min="7938" max="7938" width="10.5" style="43" bestFit="1" customWidth="1"/>
    <col min="7939" max="7939" width="10" style="43" customWidth="1"/>
    <col min="7940" max="7940" width="9.6640625" style="43" customWidth="1"/>
    <col min="7941" max="7941" width="8.6640625" style="43" customWidth="1"/>
    <col min="7942" max="7945" width="9.1640625" style="43"/>
    <col min="7946" max="7946" width="10.5" style="43" bestFit="1" customWidth="1"/>
    <col min="7947" max="8193" width="9.1640625" style="43"/>
    <col min="8194" max="8194" width="10.5" style="43" bestFit="1" customWidth="1"/>
    <col min="8195" max="8195" width="10" style="43" customWidth="1"/>
    <col min="8196" max="8196" width="9.6640625" style="43" customWidth="1"/>
    <col min="8197" max="8197" width="8.6640625" style="43" customWidth="1"/>
    <col min="8198" max="8201" width="9.1640625" style="43"/>
    <col min="8202" max="8202" width="10.5" style="43" bestFit="1" customWidth="1"/>
    <col min="8203" max="8449" width="9.1640625" style="43"/>
    <col min="8450" max="8450" width="10.5" style="43" bestFit="1" customWidth="1"/>
    <col min="8451" max="8451" width="10" style="43" customWidth="1"/>
    <col min="8452" max="8452" width="9.6640625" style="43" customWidth="1"/>
    <col min="8453" max="8453" width="8.6640625" style="43" customWidth="1"/>
    <col min="8454" max="8457" width="9.1640625" style="43"/>
    <col min="8458" max="8458" width="10.5" style="43" bestFit="1" customWidth="1"/>
    <col min="8459" max="8705" width="9.1640625" style="43"/>
    <col min="8706" max="8706" width="10.5" style="43" bestFit="1" customWidth="1"/>
    <col min="8707" max="8707" width="10" style="43" customWidth="1"/>
    <col min="8708" max="8708" width="9.6640625" style="43" customWidth="1"/>
    <col min="8709" max="8709" width="8.6640625" style="43" customWidth="1"/>
    <col min="8710" max="8713" width="9.1640625" style="43"/>
    <col min="8714" max="8714" width="10.5" style="43" bestFit="1" customWidth="1"/>
    <col min="8715" max="8961" width="9.1640625" style="43"/>
    <col min="8962" max="8962" width="10.5" style="43" bestFit="1" customWidth="1"/>
    <col min="8963" max="8963" width="10" style="43" customWidth="1"/>
    <col min="8964" max="8964" width="9.6640625" style="43" customWidth="1"/>
    <col min="8965" max="8965" width="8.6640625" style="43" customWidth="1"/>
    <col min="8966" max="8969" width="9.1640625" style="43"/>
    <col min="8970" max="8970" width="10.5" style="43" bestFit="1" customWidth="1"/>
    <col min="8971" max="9217" width="9.1640625" style="43"/>
    <col min="9218" max="9218" width="10.5" style="43" bestFit="1" customWidth="1"/>
    <col min="9219" max="9219" width="10" style="43" customWidth="1"/>
    <col min="9220" max="9220" width="9.6640625" style="43" customWidth="1"/>
    <col min="9221" max="9221" width="8.6640625" style="43" customWidth="1"/>
    <col min="9222" max="9225" width="9.1640625" style="43"/>
    <col min="9226" max="9226" width="10.5" style="43" bestFit="1" customWidth="1"/>
    <col min="9227" max="9473" width="9.1640625" style="43"/>
    <col min="9474" max="9474" width="10.5" style="43" bestFit="1" customWidth="1"/>
    <col min="9475" max="9475" width="10" style="43" customWidth="1"/>
    <col min="9476" max="9476" width="9.6640625" style="43" customWidth="1"/>
    <col min="9477" max="9477" width="8.6640625" style="43" customWidth="1"/>
    <col min="9478" max="9481" width="9.1640625" style="43"/>
    <col min="9482" max="9482" width="10.5" style="43" bestFit="1" customWidth="1"/>
    <col min="9483" max="9729" width="9.1640625" style="43"/>
    <col min="9730" max="9730" width="10.5" style="43" bestFit="1" customWidth="1"/>
    <col min="9731" max="9731" width="10" style="43" customWidth="1"/>
    <col min="9732" max="9732" width="9.6640625" style="43" customWidth="1"/>
    <col min="9733" max="9733" width="8.6640625" style="43" customWidth="1"/>
    <col min="9734" max="9737" width="9.1640625" style="43"/>
    <col min="9738" max="9738" width="10.5" style="43" bestFit="1" customWidth="1"/>
    <col min="9739" max="9985" width="9.1640625" style="43"/>
    <col min="9986" max="9986" width="10.5" style="43" bestFit="1" customWidth="1"/>
    <col min="9987" max="9987" width="10" style="43" customWidth="1"/>
    <col min="9988" max="9988" width="9.6640625" style="43" customWidth="1"/>
    <col min="9989" max="9989" width="8.6640625" style="43" customWidth="1"/>
    <col min="9990" max="9993" width="9.1640625" style="43"/>
    <col min="9994" max="9994" width="10.5" style="43" bestFit="1" customWidth="1"/>
    <col min="9995" max="10241" width="9.1640625" style="43"/>
    <col min="10242" max="10242" width="10.5" style="43" bestFit="1" customWidth="1"/>
    <col min="10243" max="10243" width="10" style="43" customWidth="1"/>
    <col min="10244" max="10244" width="9.6640625" style="43" customWidth="1"/>
    <col min="10245" max="10245" width="8.6640625" style="43" customWidth="1"/>
    <col min="10246" max="10249" width="9.1640625" style="43"/>
    <col min="10250" max="10250" width="10.5" style="43" bestFit="1" customWidth="1"/>
    <col min="10251" max="10497" width="9.1640625" style="43"/>
    <col min="10498" max="10498" width="10.5" style="43" bestFit="1" customWidth="1"/>
    <col min="10499" max="10499" width="10" style="43" customWidth="1"/>
    <col min="10500" max="10500" width="9.6640625" style="43" customWidth="1"/>
    <col min="10501" max="10501" width="8.6640625" style="43" customWidth="1"/>
    <col min="10502" max="10505" width="9.1640625" style="43"/>
    <col min="10506" max="10506" width="10.5" style="43" bestFit="1" customWidth="1"/>
    <col min="10507" max="10753" width="9.1640625" style="43"/>
    <col min="10754" max="10754" width="10.5" style="43" bestFit="1" customWidth="1"/>
    <col min="10755" max="10755" width="10" style="43" customWidth="1"/>
    <col min="10756" max="10756" width="9.6640625" style="43" customWidth="1"/>
    <col min="10757" max="10757" width="8.6640625" style="43" customWidth="1"/>
    <col min="10758" max="10761" width="9.1640625" style="43"/>
    <col min="10762" max="10762" width="10.5" style="43" bestFit="1" customWidth="1"/>
    <col min="10763" max="11009" width="9.1640625" style="43"/>
    <col min="11010" max="11010" width="10.5" style="43" bestFit="1" customWidth="1"/>
    <col min="11011" max="11011" width="10" style="43" customWidth="1"/>
    <col min="11012" max="11012" width="9.6640625" style="43" customWidth="1"/>
    <col min="11013" max="11013" width="8.6640625" style="43" customWidth="1"/>
    <col min="11014" max="11017" width="9.1640625" style="43"/>
    <col min="11018" max="11018" width="10.5" style="43" bestFit="1" customWidth="1"/>
    <col min="11019" max="11265" width="9.1640625" style="43"/>
    <col min="11266" max="11266" width="10.5" style="43" bestFit="1" customWidth="1"/>
    <col min="11267" max="11267" width="10" style="43" customWidth="1"/>
    <col min="11268" max="11268" width="9.6640625" style="43" customWidth="1"/>
    <col min="11269" max="11269" width="8.6640625" style="43" customWidth="1"/>
    <col min="11270" max="11273" width="9.1640625" style="43"/>
    <col min="11274" max="11274" width="10.5" style="43" bestFit="1" customWidth="1"/>
    <col min="11275" max="11521" width="9.1640625" style="43"/>
    <col min="11522" max="11522" width="10.5" style="43" bestFit="1" customWidth="1"/>
    <col min="11523" max="11523" width="10" style="43" customWidth="1"/>
    <col min="11524" max="11524" width="9.6640625" style="43" customWidth="1"/>
    <col min="11525" max="11525" width="8.6640625" style="43" customWidth="1"/>
    <col min="11526" max="11529" width="9.1640625" style="43"/>
    <col min="11530" max="11530" width="10.5" style="43" bestFit="1" customWidth="1"/>
    <col min="11531" max="11777" width="9.1640625" style="43"/>
    <col min="11778" max="11778" width="10.5" style="43" bestFit="1" customWidth="1"/>
    <col min="11779" max="11779" width="10" style="43" customWidth="1"/>
    <col min="11780" max="11780" width="9.6640625" style="43" customWidth="1"/>
    <col min="11781" max="11781" width="8.6640625" style="43" customWidth="1"/>
    <col min="11782" max="11785" width="9.1640625" style="43"/>
    <col min="11786" max="11786" width="10.5" style="43" bestFit="1" customWidth="1"/>
    <col min="11787" max="12033" width="9.1640625" style="43"/>
    <col min="12034" max="12034" width="10.5" style="43" bestFit="1" customWidth="1"/>
    <col min="12035" max="12035" width="10" style="43" customWidth="1"/>
    <col min="12036" max="12036" width="9.6640625" style="43" customWidth="1"/>
    <col min="12037" max="12037" width="8.6640625" style="43" customWidth="1"/>
    <col min="12038" max="12041" width="9.1640625" style="43"/>
    <col min="12042" max="12042" width="10.5" style="43" bestFit="1" customWidth="1"/>
    <col min="12043" max="12289" width="9.1640625" style="43"/>
    <col min="12290" max="12290" width="10.5" style="43" bestFit="1" customWidth="1"/>
    <col min="12291" max="12291" width="10" style="43" customWidth="1"/>
    <col min="12292" max="12292" width="9.6640625" style="43" customWidth="1"/>
    <col min="12293" max="12293" width="8.6640625" style="43" customWidth="1"/>
    <col min="12294" max="12297" width="9.1640625" style="43"/>
    <col min="12298" max="12298" width="10.5" style="43" bestFit="1" customWidth="1"/>
    <col min="12299" max="12545" width="9.1640625" style="43"/>
    <col min="12546" max="12546" width="10.5" style="43" bestFit="1" customWidth="1"/>
    <col min="12547" max="12547" width="10" style="43" customWidth="1"/>
    <col min="12548" max="12548" width="9.6640625" style="43" customWidth="1"/>
    <col min="12549" max="12549" width="8.6640625" style="43" customWidth="1"/>
    <col min="12550" max="12553" width="9.1640625" style="43"/>
    <col min="12554" max="12554" width="10.5" style="43" bestFit="1" customWidth="1"/>
    <col min="12555" max="12801" width="9.1640625" style="43"/>
    <col min="12802" max="12802" width="10.5" style="43" bestFit="1" customWidth="1"/>
    <col min="12803" max="12803" width="10" style="43" customWidth="1"/>
    <col min="12804" max="12804" width="9.6640625" style="43" customWidth="1"/>
    <col min="12805" max="12805" width="8.6640625" style="43" customWidth="1"/>
    <col min="12806" max="12809" width="9.1640625" style="43"/>
    <col min="12810" max="12810" width="10.5" style="43" bestFit="1" customWidth="1"/>
    <col min="12811" max="13057" width="9.1640625" style="43"/>
    <col min="13058" max="13058" width="10.5" style="43" bestFit="1" customWidth="1"/>
    <col min="13059" max="13059" width="10" style="43" customWidth="1"/>
    <col min="13060" max="13060" width="9.6640625" style="43" customWidth="1"/>
    <col min="13061" max="13061" width="8.6640625" style="43" customWidth="1"/>
    <col min="13062" max="13065" width="9.1640625" style="43"/>
    <col min="13066" max="13066" width="10.5" style="43" bestFit="1" customWidth="1"/>
    <col min="13067" max="13313" width="9.1640625" style="43"/>
    <col min="13314" max="13314" width="10.5" style="43" bestFit="1" customWidth="1"/>
    <col min="13315" max="13315" width="10" style="43" customWidth="1"/>
    <col min="13316" max="13316" width="9.6640625" style="43" customWidth="1"/>
    <col min="13317" max="13317" width="8.6640625" style="43" customWidth="1"/>
    <col min="13318" max="13321" width="9.1640625" style="43"/>
    <col min="13322" max="13322" width="10.5" style="43" bestFit="1" customWidth="1"/>
    <col min="13323" max="13569" width="9.1640625" style="43"/>
    <col min="13570" max="13570" width="10.5" style="43" bestFit="1" customWidth="1"/>
    <col min="13571" max="13571" width="10" style="43" customWidth="1"/>
    <col min="13572" max="13572" width="9.6640625" style="43" customWidth="1"/>
    <col min="13573" max="13573" width="8.6640625" style="43" customWidth="1"/>
    <col min="13574" max="13577" width="9.1640625" style="43"/>
    <col min="13578" max="13578" width="10.5" style="43" bestFit="1" customWidth="1"/>
    <col min="13579" max="13825" width="9.1640625" style="43"/>
    <col min="13826" max="13826" width="10.5" style="43" bestFit="1" customWidth="1"/>
    <col min="13827" max="13827" width="10" style="43" customWidth="1"/>
    <col min="13828" max="13828" width="9.6640625" style="43" customWidth="1"/>
    <col min="13829" max="13829" width="8.6640625" style="43" customWidth="1"/>
    <col min="13830" max="13833" width="9.1640625" style="43"/>
    <col min="13834" max="13834" width="10.5" style="43" bestFit="1" customWidth="1"/>
    <col min="13835" max="14081" width="9.1640625" style="43"/>
    <col min="14082" max="14082" width="10.5" style="43" bestFit="1" customWidth="1"/>
    <col min="14083" max="14083" width="10" style="43" customWidth="1"/>
    <col min="14084" max="14084" width="9.6640625" style="43" customWidth="1"/>
    <col min="14085" max="14085" width="8.6640625" style="43" customWidth="1"/>
    <col min="14086" max="14089" width="9.1640625" style="43"/>
    <col min="14090" max="14090" width="10.5" style="43" bestFit="1" customWidth="1"/>
    <col min="14091" max="14337" width="9.1640625" style="43"/>
    <col min="14338" max="14338" width="10.5" style="43" bestFit="1" customWidth="1"/>
    <col min="14339" max="14339" width="10" style="43" customWidth="1"/>
    <col min="14340" max="14340" width="9.6640625" style="43" customWidth="1"/>
    <col min="14341" max="14341" width="8.6640625" style="43" customWidth="1"/>
    <col min="14342" max="14345" width="9.1640625" style="43"/>
    <col min="14346" max="14346" width="10.5" style="43" bestFit="1" customWidth="1"/>
    <col min="14347" max="14593" width="9.1640625" style="43"/>
    <col min="14594" max="14594" width="10.5" style="43" bestFit="1" customWidth="1"/>
    <col min="14595" max="14595" width="10" style="43" customWidth="1"/>
    <col min="14596" max="14596" width="9.6640625" style="43" customWidth="1"/>
    <col min="14597" max="14597" width="8.6640625" style="43" customWidth="1"/>
    <col min="14598" max="14601" width="9.1640625" style="43"/>
    <col min="14602" max="14602" width="10.5" style="43" bestFit="1" customWidth="1"/>
    <col min="14603" max="14849" width="9.1640625" style="43"/>
    <col min="14850" max="14850" width="10.5" style="43" bestFit="1" customWidth="1"/>
    <col min="14851" max="14851" width="10" style="43" customWidth="1"/>
    <col min="14852" max="14852" width="9.6640625" style="43" customWidth="1"/>
    <col min="14853" max="14853" width="8.6640625" style="43" customWidth="1"/>
    <col min="14854" max="14857" width="9.1640625" style="43"/>
    <col min="14858" max="14858" width="10.5" style="43" bestFit="1" customWidth="1"/>
    <col min="14859" max="15105" width="9.1640625" style="43"/>
    <col min="15106" max="15106" width="10.5" style="43" bestFit="1" customWidth="1"/>
    <col min="15107" max="15107" width="10" style="43" customWidth="1"/>
    <col min="15108" max="15108" width="9.6640625" style="43" customWidth="1"/>
    <col min="15109" max="15109" width="8.6640625" style="43" customWidth="1"/>
    <col min="15110" max="15113" width="9.1640625" style="43"/>
    <col min="15114" max="15114" width="10.5" style="43" bestFit="1" customWidth="1"/>
    <col min="15115" max="15361" width="9.1640625" style="43"/>
    <col min="15362" max="15362" width="10.5" style="43" bestFit="1" customWidth="1"/>
    <col min="15363" max="15363" width="10" style="43" customWidth="1"/>
    <col min="15364" max="15364" width="9.6640625" style="43" customWidth="1"/>
    <col min="15365" max="15365" width="8.6640625" style="43" customWidth="1"/>
    <col min="15366" max="15369" width="9.1640625" style="43"/>
    <col min="15370" max="15370" width="10.5" style="43" bestFit="1" customWidth="1"/>
    <col min="15371" max="15617" width="9.1640625" style="43"/>
    <col min="15618" max="15618" width="10.5" style="43" bestFit="1" customWidth="1"/>
    <col min="15619" max="15619" width="10" style="43" customWidth="1"/>
    <col min="15620" max="15620" width="9.6640625" style="43" customWidth="1"/>
    <col min="15621" max="15621" width="8.6640625" style="43" customWidth="1"/>
    <col min="15622" max="15625" width="9.1640625" style="43"/>
    <col min="15626" max="15626" width="10.5" style="43" bestFit="1" customWidth="1"/>
    <col min="15627" max="15873" width="9.1640625" style="43"/>
    <col min="15874" max="15874" width="10.5" style="43" bestFit="1" customWidth="1"/>
    <col min="15875" max="15875" width="10" style="43" customWidth="1"/>
    <col min="15876" max="15876" width="9.6640625" style="43" customWidth="1"/>
    <col min="15877" max="15877" width="8.6640625" style="43" customWidth="1"/>
    <col min="15878" max="15881" width="9.1640625" style="43"/>
    <col min="15882" max="15882" width="10.5" style="43" bestFit="1" customWidth="1"/>
    <col min="15883" max="16129" width="9.1640625" style="43"/>
    <col min="16130" max="16130" width="10.5" style="43" bestFit="1" customWidth="1"/>
    <col min="16131" max="16131" width="10" style="43" customWidth="1"/>
    <col min="16132" max="16132" width="9.6640625" style="43" customWidth="1"/>
    <col min="16133" max="16133" width="8.6640625" style="43" customWidth="1"/>
    <col min="16134" max="16137" width="9.1640625" style="43"/>
    <col min="16138" max="16138" width="10.5" style="43" bestFit="1" customWidth="1"/>
    <col min="16139" max="16384" width="9.1640625" style="43"/>
  </cols>
  <sheetData>
    <row r="1" spans="1:11" ht="16" x14ac:dyDescent="0.15">
      <c r="A1" s="7" t="s">
        <v>70</v>
      </c>
      <c r="B1" s="53"/>
    </row>
    <row r="4" spans="1:11" ht="15" x14ac:dyDescent="0.2">
      <c r="K4" s="57"/>
    </row>
    <row r="8" spans="1:11" x14ac:dyDescent="0.15">
      <c r="B8" s="53"/>
    </row>
    <row r="24" spans="1:7" x14ac:dyDescent="0.15">
      <c r="A24" s="44" t="s">
        <v>75</v>
      </c>
    </row>
    <row r="25" spans="1:7" x14ac:dyDescent="0.15">
      <c r="A25" s="10" t="s">
        <v>26</v>
      </c>
    </row>
    <row r="26" spans="1:7" x14ac:dyDescent="0.15">
      <c r="A26" s="10"/>
    </row>
    <row r="28" spans="1:7" ht="16" x14ac:dyDescent="0.2">
      <c r="A28" s="59"/>
      <c r="B28" s="63" t="s">
        <v>54</v>
      </c>
      <c r="C28" s="63"/>
      <c r="D28" s="63" t="s">
        <v>55</v>
      </c>
      <c r="E28" s="63"/>
      <c r="F28" s="63" t="s">
        <v>56</v>
      </c>
      <c r="G28" s="63"/>
    </row>
    <row r="29" spans="1:7" ht="16" x14ac:dyDescent="0.2">
      <c r="A29" s="61"/>
      <c r="B29" s="64" t="s">
        <v>57</v>
      </c>
      <c r="C29" s="64" t="s">
        <v>58</v>
      </c>
      <c r="D29" s="64" t="s">
        <v>57</v>
      </c>
      <c r="E29" s="64" t="s">
        <v>58</v>
      </c>
      <c r="F29" s="64" t="s">
        <v>57</v>
      </c>
      <c r="G29" s="64" t="s">
        <v>58</v>
      </c>
    </row>
    <row r="30" spans="1:7" ht="16" x14ac:dyDescent="0.2">
      <c r="A30" s="60" t="s">
        <v>59</v>
      </c>
      <c r="B30" s="58">
        <v>0.19289281947302545</v>
      </c>
      <c r="C30" s="58">
        <v>5.8221087113942395E-2</v>
      </c>
      <c r="D30" s="58">
        <v>0.29456394765495342</v>
      </c>
      <c r="E30" s="58">
        <v>0.15625643349117568</v>
      </c>
      <c r="F30" s="58">
        <v>0.32385785630364738</v>
      </c>
      <c r="G30" s="58">
        <v>0.19379230242412168</v>
      </c>
    </row>
    <row r="31" spans="1:7" ht="16" x14ac:dyDescent="0.2">
      <c r="A31" s="60" t="s">
        <v>60</v>
      </c>
      <c r="B31" s="58">
        <v>0.19866677500017729</v>
      </c>
      <c r="C31" s="58">
        <v>0.13680809460288842</v>
      </c>
      <c r="D31" s="58">
        <v>0.4483050026132161</v>
      </c>
      <c r="E31" s="58">
        <v>0.61399798081041201</v>
      </c>
      <c r="F31" s="58">
        <v>0.47001153570414472</v>
      </c>
      <c r="G31" s="58">
        <v>0.62374966183602509</v>
      </c>
    </row>
    <row r="32" spans="1:7" ht="16" x14ac:dyDescent="0.2">
      <c r="A32" s="61" t="s">
        <v>61</v>
      </c>
      <c r="B32" s="62">
        <v>0.60844040552679723</v>
      </c>
      <c r="C32" s="62">
        <v>0.80497081828316919</v>
      </c>
      <c r="D32" s="62">
        <v>0.25713104973183049</v>
      </c>
      <c r="E32" s="62">
        <v>0.22974558569841233</v>
      </c>
      <c r="F32" s="62">
        <v>0.20613060799220786</v>
      </c>
      <c r="G32" s="62">
        <v>0.18245803573985328</v>
      </c>
    </row>
  </sheetData>
  <mergeCells count="3">
    <mergeCell ref="B28:C28"/>
    <mergeCell ref="D28:E28"/>
    <mergeCell ref="F28:G2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0"/>
  <sheetViews>
    <sheetView zoomScale="125" zoomScaleNormal="125" workbookViewId="0"/>
  </sheetViews>
  <sheetFormatPr baseColWidth="10" defaultColWidth="9.1640625" defaultRowHeight="16" x14ac:dyDescent="0.2"/>
  <cols>
    <col min="1" max="1" width="21.5" style="1" customWidth="1"/>
    <col min="2" max="2" width="20" style="9" customWidth="1"/>
    <col min="3" max="3" width="19.83203125" style="1" customWidth="1"/>
    <col min="4" max="4" width="18.5" style="1" bestFit="1" customWidth="1"/>
    <col min="5" max="5" width="21.5" style="1" bestFit="1" customWidth="1"/>
    <col min="6" max="16384" width="9.1640625" style="1"/>
  </cols>
  <sheetData>
    <row r="1" spans="1:1" x14ac:dyDescent="0.2">
      <c r="A1" s="7" t="s">
        <v>76</v>
      </c>
    </row>
    <row r="20" spans="1:5" x14ac:dyDescent="0.2">
      <c r="A20" s="10" t="s">
        <v>77</v>
      </c>
    </row>
    <row r="21" spans="1:5" x14ac:dyDescent="0.2">
      <c r="A21" s="10" t="s">
        <v>26</v>
      </c>
    </row>
    <row r="22" spans="1:5" x14ac:dyDescent="0.2">
      <c r="A22" s="11"/>
    </row>
    <row r="24" spans="1:5" ht="51" x14ac:dyDescent="0.2">
      <c r="A24" s="4" t="s">
        <v>27</v>
      </c>
      <c r="B24" s="12" t="s">
        <v>28</v>
      </c>
      <c r="C24" s="12" t="s">
        <v>29</v>
      </c>
      <c r="D24" s="13"/>
      <c r="E24" s="13"/>
    </row>
    <row r="25" spans="1:5" x14ac:dyDescent="0.2">
      <c r="A25" s="4" t="s">
        <v>30</v>
      </c>
      <c r="B25" s="14">
        <v>0.71</v>
      </c>
      <c r="C25" s="14">
        <v>0.67783590000000005</v>
      </c>
      <c r="D25" s="15"/>
      <c r="E25" s="15"/>
    </row>
    <row r="26" spans="1:5" x14ac:dyDescent="0.2">
      <c r="A26" s="5" t="s">
        <v>31</v>
      </c>
      <c r="B26" s="15">
        <v>0.57999999999999996</v>
      </c>
      <c r="C26" s="15">
        <v>0.52559230000000001</v>
      </c>
      <c r="D26" s="15"/>
      <c r="E26" s="15"/>
    </row>
    <row r="27" spans="1:5" x14ac:dyDescent="0.2">
      <c r="A27" s="5" t="s">
        <v>32</v>
      </c>
      <c r="B27" s="15">
        <v>0.42</v>
      </c>
      <c r="C27" s="15">
        <v>0.36002790000000001</v>
      </c>
      <c r="D27" s="15"/>
      <c r="E27" s="15"/>
    </row>
    <row r="28" spans="1:5" x14ac:dyDescent="0.2">
      <c r="A28" s="5" t="s">
        <v>33</v>
      </c>
      <c r="B28" s="15">
        <v>0.3</v>
      </c>
      <c r="C28" s="15">
        <v>0.28490579999999999</v>
      </c>
      <c r="D28" s="15"/>
      <c r="E28" s="15"/>
    </row>
    <row r="29" spans="1:5" x14ac:dyDescent="0.2">
      <c r="A29" s="5" t="s">
        <v>34</v>
      </c>
      <c r="B29" s="15">
        <v>0.14000000000000001</v>
      </c>
      <c r="C29" s="15">
        <v>0.1139922</v>
      </c>
      <c r="D29" s="15"/>
      <c r="E29" s="15"/>
    </row>
    <row r="30" spans="1:5" x14ac:dyDescent="0.2">
      <c r="A30" s="16" t="s">
        <v>35</v>
      </c>
      <c r="B30" s="17">
        <v>0.41</v>
      </c>
      <c r="C30" s="17">
        <v>0.36322559999999998</v>
      </c>
      <c r="D30" s="15"/>
      <c r="E30" s="15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7"/>
  <sheetViews>
    <sheetView zoomScale="125" zoomScaleNormal="125" workbookViewId="0">
      <selection activeCell="M16" sqref="M16"/>
    </sheetView>
  </sheetViews>
  <sheetFormatPr baseColWidth="10" defaultColWidth="8.83203125" defaultRowHeight="15" x14ac:dyDescent="0.2"/>
  <sheetData>
    <row r="1" spans="1:7" ht="16" x14ac:dyDescent="0.2">
      <c r="A1" s="31" t="s">
        <v>39</v>
      </c>
      <c r="B1" s="24"/>
      <c r="C1" s="32"/>
      <c r="D1" s="32"/>
      <c r="E1" s="32"/>
    </row>
    <row r="2" spans="1:7" x14ac:dyDescent="0.2">
      <c r="A2" s="21"/>
      <c r="B2" s="21"/>
      <c r="C2" s="21"/>
      <c r="D2" s="21"/>
      <c r="E2" s="21"/>
    </row>
    <row r="3" spans="1:7" x14ac:dyDescent="0.2">
      <c r="A3" s="24"/>
      <c r="B3" s="24"/>
      <c r="C3" s="24"/>
      <c r="D3" s="24"/>
      <c r="E3" s="24"/>
    </row>
    <row r="4" spans="1:7" x14ac:dyDescent="0.2">
      <c r="A4" s="21"/>
      <c r="B4" s="21"/>
      <c r="C4" s="21"/>
      <c r="D4" s="21"/>
      <c r="E4" s="21"/>
      <c r="G4" s="18"/>
    </row>
    <row r="5" spans="1:7" x14ac:dyDescent="0.2">
      <c r="A5" s="21"/>
      <c r="B5" s="21"/>
      <c r="C5" s="21"/>
      <c r="D5" s="21"/>
      <c r="E5" s="21"/>
    </row>
    <row r="8" spans="1:7" x14ac:dyDescent="0.2">
      <c r="E8" s="22"/>
    </row>
    <row r="9" spans="1:7" x14ac:dyDescent="0.2">
      <c r="A9" s="20"/>
      <c r="B9" s="20"/>
      <c r="C9" s="20"/>
      <c r="D9" s="21"/>
    </row>
    <row r="10" spans="1:7" x14ac:dyDescent="0.2">
      <c r="A10" s="20"/>
      <c r="B10" s="20"/>
      <c r="C10" s="20"/>
      <c r="D10" s="21"/>
    </row>
    <row r="12" spans="1:7" x14ac:dyDescent="0.2">
      <c r="A12" s="55"/>
      <c r="B12" s="55"/>
      <c r="C12" s="55"/>
      <c r="D12" s="55"/>
      <c r="E12" s="55"/>
      <c r="F12" s="55"/>
    </row>
    <row r="14" spans="1:7" x14ac:dyDescent="0.2">
      <c r="A14" s="23"/>
      <c r="B14" s="23"/>
      <c r="C14" s="23"/>
      <c r="D14" s="23"/>
      <c r="E14" s="23"/>
      <c r="F14" s="23"/>
    </row>
    <row r="15" spans="1:7" x14ac:dyDescent="0.2">
      <c r="A15" s="23"/>
      <c r="B15" s="23"/>
      <c r="C15" s="23"/>
      <c r="D15" s="23"/>
      <c r="E15" s="23"/>
      <c r="F15" s="23"/>
    </row>
    <row r="16" spans="1:7" x14ac:dyDescent="0.2">
      <c r="A16" s="23"/>
      <c r="B16" s="23"/>
      <c r="C16" s="23"/>
      <c r="D16" s="23"/>
      <c r="E16" s="23"/>
      <c r="F16" s="23"/>
    </row>
    <row r="18" spans="1:6" x14ac:dyDescent="0.2">
      <c r="A18" s="55"/>
      <c r="B18" s="55"/>
      <c r="C18" s="55"/>
      <c r="D18" s="55"/>
      <c r="E18" s="55"/>
      <c r="F18" s="55"/>
    </row>
    <row r="20" spans="1:6" x14ac:dyDescent="0.2">
      <c r="A20" s="23"/>
      <c r="B20" s="23"/>
      <c r="C20" s="23"/>
      <c r="D20" s="23"/>
      <c r="E20" s="23"/>
      <c r="F20" s="23"/>
    </row>
    <row r="21" spans="1:6" x14ac:dyDescent="0.2">
      <c r="A21" s="23"/>
      <c r="B21" s="23"/>
      <c r="C21" s="23"/>
      <c r="D21" s="23"/>
      <c r="E21" s="23"/>
      <c r="F21" s="23"/>
    </row>
    <row r="22" spans="1:6" x14ac:dyDescent="0.2">
      <c r="A22" s="10" t="s">
        <v>25</v>
      </c>
      <c r="B22" s="23"/>
      <c r="C22" s="23"/>
      <c r="D22" s="23"/>
      <c r="E22" s="23"/>
      <c r="F22" s="23"/>
    </row>
    <row r="23" spans="1:6" x14ac:dyDescent="0.2">
      <c r="A23" s="10" t="s">
        <v>26</v>
      </c>
    </row>
    <row r="24" spans="1:6" x14ac:dyDescent="0.2">
      <c r="A24" s="10"/>
    </row>
    <row r="26" spans="1:6" ht="16" x14ac:dyDescent="0.2">
      <c r="A26" s="26">
        <v>2018</v>
      </c>
      <c r="B26" s="26">
        <v>2019</v>
      </c>
      <c r="C26" s="33"/>
      <c r="D26" s="33"/>
      <c r="E26" s="26">
        <v>2021</v>
      </c>
    </row>
    <row r="27" spans="1:6" ht="16" x14ac:dyDescent="0.2">
      <c r="A27" s="34">
        <v>0.30030000000000001</v>
      </c>
      <c r="B27" s="34">
        <v>0.30499999999999999</v>
      </c>
      <c r="C27" s="30">
        <v>0.34789999999999999</v>
      </c>
      <c r="D27" s="30">
        <v>0.28129999999999999</v>
      </c>
      <c r="E27" s="34">
        <v>0.29720000000000002</v>
      </c>
    </row>
  </sheetData>
  <mergeCells count="5">
    <mergeCell ref="A12:C12"/>
    <mergeCell ref="D12:F12"/>
    <mergeCell ref="A18:B18"/>
    <mergeCell ref="C18:D18"/>
    <mergeCell ref="E18:F1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5"/>
  <sheetViews>
    <sheetView workbookViewId="0">
      <selection activeCell="F28" sqref="F28"/>
    </sheetView>
  </sheetViews>
  <sheetFormatPr baseColWidth="10" defaultColWidth="17.83203125" defaultRowHeight="16" x14ac:dyDescent="0.2"/>
  <cols>
    <col min="1" max="16384" width="17.83203125" style="1"/>
  </cols>
  <sheetData>
    <row r="1" spans="1:4" x14ac:dyDescent="0.2">
      <c r="A1" s="7" t="s">
        <v>52</v>
      </c>
    </row>
    <row r="2" spans="1:4" x14ac:dyDescent="0.2">
      <c r="A2" s="4" t="str">
        <f>""</f>
        <v/>
      </c>
      <c r="B2" s="4" t="str">
        <f>"(1)"</f>
        <v>(1)</v>
      </c>
      <c r="C2" s="4" t="str">
        <f>"(2)"</f>
        <v>(2)</v>
      </c>
      <c r="D2" s="4" t="str">
        <f>"(3)"</f>
        <v>(3)</v>
      </c>
    </row>
    <row r="3" spans="1:4" x14ac:dyDescent="0.2">
      <c r="A3" s="3" t="str">
        <f>""</f>
        <v/>
      </c>
      <c r="B3" s="3" t="s">
        <v>0</v>
      </c>
      <c r="C3" s="3" t="s">
        <v>1</v>
      </c>
      <c r="D3" s="3" t="s">
        <v>2</v>
      </c>
    </row>
    <row r="4" spans="1:4" x14ac:dyDescent="0.2">
      <c r="A4" s="1" t="s">
        <v>17</v>
      </c>
      <c r="B4" s="1" t="str">
        <f>"171.1*"</f>
        <v>171.1*</v>
      </c>
      <c r="C4" s="1" t="str">
        <f>"53.62"</f>
        <v>53.62</v>
      </c>
      <c r="D4" s="1" t="str">
        <f>"-140.0"</f>
        <v>-140.0</v>
      </c>
    </row>
    <row r="5" spans="1:4" x14ac:dyDescent="0.2">
      <c r="A5" s="1" t="str">
        <f>""</f>
        <v/>
      </c>
      <c r="B5" s="1" t="str">
        <f>"(91.21)"</f>
        <v>(91.21)</v>
      </c>
      <c r="C5" s="1" t="str">
        <f>"(123.7)"</f>
        <v>(123.7)</v>
      </c>
      <c r="D5" s="1" t="str">
        <f>"(212.6)"</f>
        <v>(212.6)</v>
      </c>
    </row>
    <row r="6" spans="1:4" x14ac:dyDescent="0.2">
      <c r="A6" s="1" t="s">
        <v>22</v>
      </c>
      <c r="B6" s="1" t="str">
        <f>"-479.1***"</f>
        <v>-479.1***</v>
      </c>
      <c r="C6" s="1" t="str">
        <f>"-478.1***"</f>
        <v>-478.1***</v>
      </c>
      <c r="D6" s="1" t="str">
        <f>"-937.0***"</f>
        <v>-937.0***</v>
      </c>
    </row>
    <row r="7" spans="1:4" x14ac:dyDescent="0.2">
      <c r="A7" s="1" t="str">
        <f>""</f>
        <v/>
      </c>
      <c r="B7" s="1" t="str">
        <f>"(97.40)"</f>
        <v>(97.40)</v>
      </c>
      <c r="C7" s="1" t="str">
        <f>"(127.8)"</f>
        <v>(127.8)</v>
      </c>
      <c r="D7" s="1" t="str">
        <f>"(210.9)"</f>
        <v>(210.9)</v>
      </c>
    </row>
    <row r="8" spans="1:4" x14ac:dyDescent="0.2">
      <c r="A8" s="1" t="s">
        <v>23</v>
      </c>
      <c r="B8" s="1" t="str">
        <f>"80.18"</f>
        <v>80.18</v>
      </c>
      <c r="C8" s="1" t="str">
        <f>"226.0*"</f>
        <v>226.0*</v>
      </c>
      <c r="D8" s="1" t="str">
        <f>"222.9"</f>
        <v>222.9</v>
      </c>
    </row>
    <row r="9" spans="1:4" x14ac:dyDescent="0.2">
      <c r="A9" s="1" t="str">
        <f>""</f>
        <v/>
      </c>
      <c r="B9" s="1" t="str">
        <f>"(104.8)"</f>
        <v>(104.8)</v>
      </c>
      <c r="C9" s="1" t="str">
        <f>"(135.7)"</f>
        <v>(135.7)</v>
      </c>
      <c r="D9" s="1" t="str">
        <f>"(225.3)"</f>
        <v>(225.3)</v>
      </c>
    </row>
    <row r="10" spans="1:4" x14ac:dyDescent="0.2">
      <c r="A10" s="1" t="s">
        <v>24</v>
      </c>
      <c r="B10" s="1" t="str">
        <f>"-179.4*"</f>
        <v>-179.4*</v>
      </c>
      <c r="C10" s="1" t="str">
        <f>"122.9"</f>
        <v>122.9</v>
      </c>
      <c r="D10" s="1" t="str">
        <f>"-391.6*"</f>
        <v>-391.6*</v>
      </c>
    </row>
    <row r="11" spans="1:4" x14ac:dyDescent="0.2">
      <c r="A11" s="1" t="str">
        <f>""</f>
        <v/>
      </c>
      <c r="B11" s="1" t="str">
        <f>"(103.3)"</f>
        <v>(103.3)</v>
      </c>
      <c r="C11" s="1" t="str">
        <f>"(134.7)"</f>
        <v>(134.7)</v>
      </c>
      <c r="D11" s="1" t="str">
        <f>"(215.1)"</f>
        <v>(215.1)</v>
      </c>
    </row>
    <row r="12" spans="1:4" x14ac:dyDescent="0.2">
      <c r="A12" s="1" t="s">
        <v>9</v>
      </c>
      <c r="B12" s="1" t="str">
        <f>"3887.1***"</f>
        <v>3887.1***</v>
      </c>
      <c r="C12" s="1" t="str">
        <f>"4973.5***"</f>
        <v>4973.5***</v>
      </c>
      <c r="D12" s="1" t="str">
        <f>"8364.7***"</f>
        <v>8364.7***</v>
      </c>
    </row>
    <row r="13" spans="1:4" x14ac:dyDescent="0.2">
      <c r="A13" s="1" t="str">
        <f>""</f>
        <v/>
      </c>
      <c r="B13" s="1" t="str">
        <f>"(74.28)"</f>
        <v>(74.28)</v>
      </c>
      <c r="C13" s="1" t="str">
        <f>"(97.87)"</f>
        <v>(97.87)</v>
      </c>
      <c r="D13" s="1" t="str">
        <f>"(156.4)"</f>
        <v>(156.4)</v>
      </c>
    </row>
    <row r="14" spans="1:4" x14ac:dyDescent="0.2">
      <c r="A14" s="4" t="str">
        <f>"N"</f>
        <v>N</v>
      </c>
      <c r="B14" s="4" t="str">
        <f>"24453"</f>
        <v>24453</v>
      </c>
      <c r="C14" s="4" t="str">
        <f>"22916"</f>
        <v>22916</v>
      </c>
      <c r="D14" s="4" t="str">
        <f>"24186"</f>
        <v>24186</v>
      </c>
    </row>
    <row r="15" spans="1:4" x14ac:dyDescent="0.2">
      <c r="A15" s="6" t="str">
        <f>"R-sq"</f>
        <v>R-sq</v>
      </c>
      <c r="B15" s="6" t="str">
        <f>"0.002"</f>
        <v>0.002</v>
      </c>
      <c r="C15" s="6" t="str">
        <f>"0.002"</f>
        <v>0.002</v>
      </c>
      <c r="D15" s="6" t="str">
        <f>"0.002"</f>
        <v>0.002</v>
      </c>
    </row>
    <row r="16" spans="1:4" x14ac:dyDescent="0.2">
      <c r="A16" s="1" t="str">
        <f>"Standard errors in parentheses"</f>
        <v>Standard errors in parentheses</v>
      </c>
    </row>
    <row r="17" spans="1:4" x14ac:dyDescent="0.2">
      <c r="A17" s="1" t="s">
        <v>12</v>
      </c>
      <c r="B17" s="1" t="s">
        <v>13</v>
      </c>
      <c r="C17" s="1" t="s">
        <v>14</v>
      </c>
    </row>
    <row r="19" spans="1:4" x14ac:dyDescent="0.2">
      <c r="A19" s="7" t="s">
        <v>53</v>
      </c>
    </row>
    <row r="20" spans="1:4" x14ac:dyDescent="0.2">
      <c r="A20" s="4" t="str">
        <f>""</f>
        <v/>
      </c>
      <c r="B20" s="4" t="str">
        <f>"(1)"</f>
        <v>(1)</v>
      </c>
      <c r="C20" s="4" t="str">
        <f>"(2)"</f>
        <v>(2)</v>
      </c>
      <c r="D20" s="4" t="str">
        <f>"(3)"</f>
        <v>(3)</v>
      </c>
    </row>
    <row r="21" spans="1:4" x14ac:dyDescent="0.2">
      <c r="A21" s="3" t="str">
        <f>""</f>
        <v/>
      </c>
      <c r="B21" s="3" t="s">
        <v>0</v>
      </c>
      <c r="C21" s="3" t="s">
        <v>1</v>
      </c>
      <c r="D21" s="3" t="s">
        <v>2</v>
      </c>
    </row>
    <row r="22" spans="1:4" x14ac:dyDescent="0.2">
      <c r="A22" s="1" t="s">
        <v>17</v>
      </c>
      <c r="B22" s="1" t="str">
        <f>"510.4***"</f>
        <v>510.4***</v>
      </c>
      <c r="C22" s="1" t="str">
        <f>"32.98"</f>
        <v>32.98</v>
      </c>
      <c r="D22" s="1" t="str">
        <f>"-1.532"</f>
        <v>-1.532</v>
      </c>
    </row>
    <row r="23" spans="1:4" x14ac:dyDescent="0.2">
      <c r="A23" s="1" t="str">
        <f>""</f>
        <v/>
      </c>
      <c r="B23" s="1" t="str">
        <f>"(138.3)"</f>
        <v>(138.3)</v>
      </c>
      <c r="C23" s="1" t="str">
        <f>"(163.5)"</f>
        <v>(163.5)</v>
      </c>
      <c r="D23" s="1" t="str">
        <f>"(222.6)"</f>
        <v>(222.6)</v>
      </c>
    </row>
    <row r="24" spans="1:4" x14ac:dyDescent="0.2">
      <c r="A24" s="1" t="s">
        <v>22</v>
      </c>
      <c r="B24" s="1" t="str">
        <f>"543.5***"</f>
        <v>543.5***</v>
      </c>
      <c r="C24" s="1" t="str">
        <f>"734.4***"</f>
        <v>734.4***</v>
      </c>
      <c r="D24" s="1" t="str">
        <f>"1193.6***"</f>
        <v>1193.6***</v>
      </c>
    </row>
    <row r="25" spans="1:4" x14ac:dyDescent="0.2">
      <c r="A25" s="1" t="str">
        <f>""</f>
        <v/>
      </c>
      <c r="B25" s="1" t="str">
        <f>"(152.8)"</f>
        <v>(152.8)</v>
      </c>
      <c r="C25" s="1" t="str">
        <f>"(179.7)"</f>
        <v>(179.7)</v>
      </c>
      <c r="D25" s="1" t="str">
        <f>"(248.8)"</f>
        <v>(248.8)</v>
      </c>
    </row>
    <row r="26" spans="1:4" x14ac:dyDescent="0.2">
      <c r="A26" s="1" t="s">
        <v>23</v>
      </c>
      <c r="B26" s="1" t="str">
        <f>"-346.9***"</f>
        <v>-346.9***</v>
      </c>
      <c r="C26" s="1" t="str">
        <f>"-72.15"</f>
        <v>-72.15</v>
      </c>
      <c r="D26" s="1" t="str">
        <f>"623.2***"</f>
        <v>623.2***</v>
      </c>
    </row>
    <row r="27" spans="1:4" x14ac:dyDescent="0.2">
      <c r="A27" s="1" t="str">
        <f>""</f>
        <v/>
      </c>
      <c r="B27" s="1" t="str">
        <f>"(126.5)"</f>
        <v>(126.5)</v>
      </c>
      <c r="C27" s="1" t="str">
        <f>"(156.7)"</f>
        <v>(156.7)</v>
      </c>
      <c r="D27" s="1" t="str">
        <f>"(241.7)"</f>
        <v>(241.7)</v>
      </c>
    </row>
    <row r="28" spans="1:4" x14ac:dyDescent="0.2">
      <c r="A28" s="1" t="s">
        <v>24</v>
      </c>
      <c r="B28" s="1" t="str">
        <f>"-532.8***"</f>
        <v>-532.8***</v>
      </c>
      <c r="C28" s="1" t="str">
        <f>"-556.4***"</f>
        <v>-556.4***</v>
      </c>
      <c r="D28" s="1" t="str">
        <f>"-416.3*"</f>
        <v>-416.3*</v>
      </c>
    </row>
    <row r="29" spans="1:4" x14ac:dyDescent="0.2">
      <c r="A29" s="1" t="str">
        <f>""</f>
        <v/>
      </c>
      <c r="B29" s="1" t="str">
        <f>"(137.5)"</f>
        <v>(137.5)</v>
      </c>
      <c r="C29" s="1" t="str">
        <f>"(178.2)"</f>
        <v>(178.2)</v>
      </c>
      <c r="D29" s="1" t="str">
        <f>"(248.3)"</f>
        <v>(248.3)</v>
      </c>
    </row>
    <row r="30" spans="1:4" x14ac:dyDescent="0.2">
      <c r="A30" s="1" t="s">
        <v>9</v>
      </c>
      <c r="B30" s="1" t="str">
        <f>"3340.0***"</f>
        <v>3340.0***</v>
      </c>
      <c r="C30" s="1" t="str">
        <f>"4317.3***"</f>
        <v>4317.3***</v>
      </c>
      <c r="D30" s="1" t="str">
        <f>"6739.2***"</f>
        <v>6739.2***</v>
      </c>
    </row>
    <row r="31" spans="1:4" x14ac:dyDescent="0.2">
      <c r="A31" s="1" t="str">
        <f>""</f>
        <v/>
      </c>
      <c r="B31" s="1" t="str">
        <f>"(90.41)"</f>
        <v>(90.41)</v>
      </c>
      <c r="C31" s="1" t="str">
        <f>"(111.0)"</f>
        <v>(111.0)</v>
      </c>
      <c r="D31" s="1" t="str">
        <f>"(155.5)"</f>
        <v>(155.5)</v>
      </c>
    </row>
    <row r="32" spans="1:4" x14ac:dyDescent="0.2">
      <c r="A32" s="4" t="str">
        <f>"N"</f>
        <v>N</v>
      </c>
      <c r="B32" s="4" t="str">
        <f>"9174"</f>
        <v>9174</v>
      </c>
      <c r="C32" s="4" t="str">
        <f>"9932"</f>
        <v>9932</v>
      </c>
      <c r="D32" s="4" t="str">
        <f>"11433"</f>
        <v>11433</v>
      </c>
    </row>
    <row r="33" spans="1:4" x14ac:dyDescent="0.2">
      <c r="A33" s="6" t="str">
        <f>"R-sq"</f>
        <v>R-sq</v>
      </c>
      <c r="B33" s="6" t="str">
        <f>"0.009"</f>
        <v>0.009</v>
      </c>
      <c r="C33" s="6" t="str">
        <f>"0.005"</f>
        <v>0.005</v>
      </c>
      <c r="D33" s="6" t="str">
        <f>"0.004"</f>
        <v>0.004</v>
      </c>
    </row>
    <row r="34" spans="1:4" x14ac:dyDescent="0.2">
      <c r="A34" s="1" t="str">
        <f>"Standard errors in parentheses"</f>
        <v>Standard errors in parentheses</v>
      </c>
    </row>
    <row r="35" spans="1:4" x14ac:dyDescent="0.2">
      <c r="A35" s="1" t="s">
        <v>12</v>
      </c>
      <c r="B35" s="1" t="s">
        <v>13</v>
      </c>
      <c r="C35" s="1" t="s">
        <v>14</v>
      </c>
    </row>
  </sheetData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7"/>
  <sheetViews>
    <sheetView workbookViewId="0">
      <selection activeCell="F34" sqref="F34"/>
    </sheetView>
  </sheetViews>
  <sheetFormatPr baseColWidth="10" defaultColWidth="17.83203125" defaultRowHeight="16" x14ac:dyDescent="0.2"/>
  <cols>
    <col min="1" max="16384" width="17.83203125" style="1"/>
  </cols>
  <sheetData>
    <row r="1" spans="1:7" x14ac:dyDescent="0.2">
      <c r="A1" s="7" t="s">
        <v>40</v>
      </c>
    </row>
    <row r="2" spans="1:7" x14ac:dyDescent="0.2">
      <c r="A2" s="4" t="str">
        <f>""</f>
        <v/>
      </c>
      <c r="B2" s="4" t="str">
        <f>"(1)"</f>
        <v>(1)</v>
      </c>
      <c r="C2" s="4" t="str">
        <f>"(2)"</f>
        <v>(2)</v>
      </c>
      <c r="D2" s="4" t="str">
        <f>"(3)"</f>
        <v>(3)</v>
      </c>
      <c r="E2" s="4" t="str">
        <f>"(1)"</f>
        <v>(1)</v>
      </c>
      <c r="F2" s="4" t="str">
        <f>"(2)"</f>
        <v>(2)</v>
      </c>
      <c r="G2" s="4" t="str">
        <f>"(3)"</f>
        <v>(3)</v>
      </c>
    </row>
    <row r="3" spans="1:7" x14ac:dyDescent="0.2">
      <c r="A3" s="3" t="str">
        <f>""</f>
        <v/>
      </c>
      <c r="B3" s="3" t="s">
        <v>0</v>
      </c>
      <c r="C3" s="3" t="s">
        <v>1</v>
      </c>
      <c r="D3" s="3" t="s">
        <v>2</v>
      </c>
      <c r="E3" s="3" t="s">
        <v>0</v>
      </c>
      <c r="F3" s="3" t="s">
        <v>1</v>
      </c>
      <c r="G3" s="3" t="s">
        <v>2</v>
      </c>
    </row>
    <row r="4" spans="1:7" x14ac:dyDescent="0.2">
      <c r="A4" s="1" t="s">
        <v>17</v>
      </c>
      <c r="B4" s="1" t="str">
        <f>"3517.6***"</f>
        <v>3517.6***</v>
      </c>
      <c r="C4" s="1" t="str">
        <f>"3963.9***"</f>
        <v>3963.9***</v>
      </c>
      <c r="D4" s="1" t="str">
        <f>"3222.5**"</f>
        <v>3222.5**</v>
      </c>
      <c r="E4" s="1" t="str">
        <f>"3577.7***"</f>
        <v>3577.7***</v>
      </c>
      <c r="F4" s="1" t="str">
        <f>"4138.8***"</f>
        <v>4138.8***</v>
      </c>
      <c r="G4" s="1" t="str">
        <f>"3166.7**"</f>
        <v>3166.7**</v>
      </c>
    </row>
    <row r="5" spans="1:7" x14ac:dyDescent="0.2">
      <c r="A5" s="1" t="str">
        <f>""</f>
        <v/>
      </c>
      <c r="B5" s="1" t="str">
        <f>"(718.7)"</f>
        <v>(718.7)</v>
      </c>
      <c r="C5" s="1" t="str">
        <f>"(895.5)"</f>
        <v>(895.5)</v>
      </c>
      <c r="D5" s="1" t="str">
        <f>"(1488.3)"</f>
        <v>(1488.3)</v>
      </c>
      <c r="E5" s="1" t="str">
        <f>"(716.8)"</f>
        <v>(716.8)</v>
      </c>
      <c r="F5" s="1" t="str">
        <f>"(890.7)"</f>
        <v>(890.7)</v>
      </c>
      <c r="G5" s="1" t="str">
        <f>"(1465.3)"</f>
        <v>(1465.3)</v>
      </c>
    </row>
    <row r="6" spans="1:7" x14ac:dyDescent="0.2">
      <c r="A6" s="1" t="s">
        <v>4</v>
      </c>
      <c r="B6" s="1" t="str">
        <f>"-4705.6***"</f>
        <v>-4705.6***</v>
      </c>
      <c r="C6" s="1" t="str">
        <f>"-5327.9***"</f>
        <v>-5327.9***</v>
      </c>
      <c r="D6" s="1" t="str">
        <f>"-8601.0***"</f>
        <v>-8601.0***</v>
      </c>
      <c r="E6" s="1" t="str">
        <f>"-5442.9***"</f>
        <v>-5442.9***</v>
      </c>
      <c r="F6" s="1" t="str">
        <f>"-5791.8***"</f>
        <v>-5791.8***</v>
      </c>
      <c r="G6" s="1" t="str">
        <f>"-8412.5***"</f>
        <v>-8412.5***</v>
      </c>
    </row>
    <row r="7" spans="1:7" x14ac:dyDescent="0.2">
      <c r="A7" s="1" t="str">
        <f>""</f>
        <v/>
      </c>
      <c r="B7" s="1" t="str">
        <f>"(589.4)"</f>
        <v>(589.4)</v>
      </c>
      <c r="C7" s="1" t="str">
        <f>"(735.0)"</f>
        <v>(735.0)</v>
      </c>
      <c r="D7" s="1" t="str">
        <f>"(1228.6)"</f>
        <v>(1228.6)</v>
      </c>
      <c r="E7" s="1" t="str">
        <f>"(589.9)"</f>
        <v>(589.9)</v>
      </c>
      <c r="F7" s="1" t="str">
        <f>"(731.9)"</f>
        <v>(731.9)</v>
      </c>
      <c r="G7" s="1" t="str">
        <f>"(1219.8)"</f>
        <v>(1219.8)</v>
      </c>
    </row>
    <row r="8" spans="1:7" x14ac:dyDescent="0.2">
      <c r="A8" s="1" t="s">
        <v>18</v>
      </c>
      <c r="E8" s="1" t="str">
        <f>"9027.9***"</f>
        <v>9027.9***</v>
      </c>
      <c r="F8" s="1" t="str">
        <f>"-4652.3***"</f>
        <v>-4652.3***</v>
      </c>
      <c r="G8" s="1" t="str">
        <f>"-9145.8***"</f>
        <v>-9145.8***</v>
      </c>
    </row>
    <row r="9" spans="1:7" x14ac:dyDescent="0.2">
      <c r="A9" s="1" t="str">
        <f>""</f>
        <v/>
      </c>
      <c r="E9" s="1" t="str">
        <f>"(1588.9)"</f>
        <v>(1588.9)</v>
      </c>
      <c r="F9" s="1" t="str">
        <f>"(769.5)"</f>
        <v>(769.5)</v>
      </c>
      <c r="G9" s="1" t="str">
        <f>"(2711.1)"</f>
        <v>(2711.1)</v>
      </c>
    </row>
    <row r="10" spans="1:7" x14ac:dyDescent="0.2">
      <c r="A10" s="1" t="s">
        <v>19</v>
      </c>
      <c r="E10" s="1" t="str">
        <f>"14337.4***"</f>
        <v>14337.4***</v>
      </c>
      <c r="F10" s="1" t="str">
        <f>"20137.9***"</f>
        <v>20137.9***</v>
      </c>
      <c r="G10" s="1" t="str">
        <f>"20978.2***"</f>
        <v>20978.2***</v>
      </c>
    </row>
    <row r="11" spans="1:7" x14ac:dyDescent="0.2">
      <c r="A11" s="1" t="str">
        <f>""</f>
        <v/>
      </c>
      <c r="E11" s="1" t="str">
        <f>"(1394.0)"</f>
        <v>(1394.0)</v>
      </c>
      <c r="F11" s="1" t="str">
        <f>"(1748.4)"</f>
        <v>(1748.4)</v>
      </c>
      <c r="G11" s="1" t="str">
        <f>"(3308.2)"</f>
        <v>(3308.2)</v>
      </c>
    </row>
    <row r="12" spans="1:7" x14ac:dyDescent="0.2">
      <c r="A12" s="1" t="s">
        <v>20</v>
      </c>
      <c r="E12" s="1" t="str">
        <f>"8876.6***"</f>
        <v>8876.6***</v>
      </c>
      <c r="F12" s="1" t="str">
        <f>"5732.8***"</f>
        <v>5732.8***</v>
      </c>
      <c r="G12" s="1" t="str">
        <f>"8654.8***"</f>
        <v>8654.8***</v>
      </c>
    </row>
    <row r="13" spans="1:7" x14ac:dyDescent="0.2">
      <c r="A13" s="1" t="str">
        <f>""</f>
        <v/>
      </c>
      <c r="E13" s="1" t="str">
        <f>"(1154.6)"</f>
        <v>(1154.6)</v>
      </c>
      <c r="F13" s="1" t="str">
        <f>"(1145.2)"</f>
        <v>(1145.2)</v>
      </c>
      <c r="G13" s="1" t="str">
        <f>"(1870.5)"</f>
        <v>(1870.5)</v>
      </c>
    </row>
    <row r="14" spans="1:7" x14ac:dyDescent="0.2">
      <c r="A14" s="1" t="s">
        <v>21</v>
      </c>
      <c r="E14" s="1" t="str">
        <f>"3134.0***"</f>
        <v>3134.0***</v>
      </c>
      <c r="F14" s="1" t="str">
        <f>"17572.4***"</f>
        <v>17572.4***</v>
      </c>
      <c r="G14" s="1" t="str">
        <f>"41685.0***"</f>
        <v>41685.0***</v>
      </c>
    </row>
    <row r="15" spans="1:7" x14ac:dyDescent="0.2">
      <c r="A15" s="1" t="str">
        <f>""</f>
        <v/>
      </c>
      <c r="E15" s="1" t="str">
        <f>"(558.8)"</f>
        <v>(558.8)</v>
      </c>
      <c r="F15" s="1" t="str">
        <f>"(709.9)"</f>
        <v>(709.9)</v>
      </c>
      <c r="G15" s="1" t="str">
        <f>"(1201.5)"</f>
        <v>(1201.5)</v>
      </c>
    </row>
    <row r="16" spans="1:7" x14ac:dyDescent="0.2">
      <c r="A16" s="1" t="s">
        <v>22</v>
      </c>
      <c r="B16" s="1" t="str">
        <f>"-1579.9**"</f>
        <v>-1579.9**</v>
      </c>
      <c r="C16" s="1" t="str">
        <f>"-1932.1**"</f>
        <v>-1932.1**</v>
      </c>
      <c r="D16" s="1" t="str">
        <f>"-1123.9"</f>
        <v>-1123.9</v>
      </c>
      <c r="E16" s="1" t="str">
        <f>"-1560.3**"</f>
        <v>-1560.3**</v>
      </c>
      <c r="F16" s="1" t="str">
        <f>"-2010.8**"</f>
        <v>-2010.8**</v>
      </c>
      <c r="G16" s="1" t="str">
        <f>"-1224.9"</f>
        <v>-1224.9</v>
      </c>
    </row>
    <row r="17" spans="1:7" x14ac:dyDescent="0.2">
      <c r="A17" s="1" t="str">
        <f>""</f>
        <v/>
      </c>
      <c r="B17" s="1" t="str">
        <f>"(766.0)"</f>
        <v>(766.0)</v>
      </c>
      <c r="C17" s="1" t="str">
        <f>"(962.1)"</f>
        <v>(962.1)</v>
      </c>
      <c r="D17" s="1" t="str">
        <f>"(1654.8)"</f>
        <v>(1654.8)</v>
      </c>
      <c r="E17" s="1" t="str">
        <f>"(762.7)"</f>
        <v>(762.7)</v>
      </c>
      <c r="F17" s="1" t="str">
        <f>"(950.9)"</f>
        <v>(950.9)</v>
      </c>
      <c r="G17" s="1" t="str">
        <f>"(1637.6)"</f>
        <v>(1637.6)</v>
      </c>
    </row>
    <row r="18" spans="1:7" x14ac:dyDescent="0.2">
      <c r="A18" s="1" t="s">
        <v>23</v>
      </c>
      <c r="B18" s="1" t="str">
        <f>"-415.4"</f>
        <v>-415.4</v>
      </c>
      <c r="C18" s="1" t="str">
        <f>"-897.9"</f>
        <v>-897.9</v>
      </c>
      <c r="D18" s="1" t="str">
        <f>"-431.5"</f>
        <v>-431.5</v>
      </c>
      <c r="E18" s="1" t="str">
        <f>"-195.8"</f>
        <v>-195.8</v>
      </c>
      <c r="F18" s="1" t="str">
        <f>"-1192.7"</f>
        <v>-1192.7</v>
      </c>
      <c r="G18" s="1" t="str">
        <f>"-532.2"</f>
        <v>-532.2</v>
      </c>
    </row>
    <row r="19" spans="1:7" x14ac:dyDescent="0.2">
      <c r="A19" s="1" t="str">
        <f>""</f>
        <v/>
      </c>
      <c r="B19" s="1" t="str">
        <f>"(763.3)"</f>
        <v>(763.3)</v>
      </c>
      <c r="C19" s="1" t="str">
        <f>"(957.4)"</f>
        <v>(957.4)</v>
      </c>
      <c r="D19" s="1" t="str">
        <f>"(1634.7)"</f>
        <v>(1634.7)</v>
      </c>
      <c r="E19" s="1" t="str">
        <f>"(762.1)"</f>
        <v>(762.1)</v>
      </c>
      <c r="F19" s="1" t="str">
        <f>"(946.1)"</f>
        <v>(946.1)</v>
      </c>
      <c r="G19" s="1" t="str">
        <f>"(1612.6)"</f>
        <v>(1612.6)</v>
      </c>
    </row>
    <row r="20" spans="1:7" x14ac:dyDescent="0.2">
      <c r="A20" s="1" t="s">
        <v>24</v>
      </c>
      <c r="B20" s="1" t="str">
        <f>"-734.1"</f>
        <v>-734.1</v>
      </c>
      <c r="C20" s="1" t="str">
        <f>"-1013.1"</f>
        <v>-1013.1</v>
      </c>
      <c r="D20" s="1" t="str">
        <f>"1393.2"</f>
        <v>1393.2</v>
      </c>
      <c r="E20" s="1" t="str">
        <f>"-687.0"</f>
        <v>-687.0</v>
      </c>
      <c r="F20" s="1" t="str">
        <f>"-1040.6"</f>
        <v>-1040.6</v>
      </c>
      <c r="G20" s="1" t="str">
        <f>"1453.0"</f>
        <v>1453.0</v>
      </c>
    </row>
    <row r="21" spans="1:7" x14ac:dyDescent="0.2">
      <c r="A21" s="1" t="str">
        <f>""</f>
        <v/>
      </c>
      <c r="B21" s="1" t="str">
        <f>"(784.8)"</f>
        <v>(784.8)</v>
      </c>
      <c r="C21" s="1" t="str">
        <f>"(990.1)"</f>
        <v>(990.1)</v>
      </c>
      <c r="D21" s="1" t="str">
        <f>"(1708.4)"</f>
        <v>(1708.4)</v>
      </c>
      <c r="E21" s="1" t="str">
        <f>"(782.7)"</f>
        <v>(782.7)</v>
      </c>
      <c r="F21" s="1" t="str">
        <f>"(979.0)"</f>
        <v>(979.0)</v>
      </c>
      <c r="G21" s="1" t="str">
        <f>"(1685.0)"</f>
        <v>(1685.0)</v>
      </c>
    </row>
    <row r="22" spans="1:7" x14ac:dyDescent="0.2">
      <c r="A22" s="1" t="s">
        <v>9</v>
      </c>
      <c r="B22" s="1" t="str">
        <f>"38507.0***"</f>
        <v>38507.0***</v>
      </c>
      <c r="C22" s="1" t="str">
        <f>"63365.7***"</f>
        <v>63365.7***</v>
      </c>
      <c r="D22" s="1" t="str">
        <f>"110086.4***"</f>
        <v>110086.4***</v>
      </c>
      <c r="E22" s="1" t="str">
        <f>"35952.0***"</f>
        <v>35952.0***</v>
      </c>
      <c r="F22" s="1" t="str">
        <f>"59131.7***"</f>
        <v>59131.7***</v>
      </c>
      <c r="G22" s="1" t="str">
        <f>"99868.6***"</f>
        <v>99868.6***</v>
      </c>
    </row>
    <row r="23" spans="1:7" x14ac:dyDescent="0.2">
      <c r="A23" s="1" t="str">
        <f>""</f>
        <v/>
      </c>
      <c r="B23" s="1" t="str">
        <f>"(599.8)"</f>
        <v>(599.8)</v>
      </c>
      <c r="C23" s="1" t="str">
        <f>"(777.3)"</f>
        <v>(777.3)</v>
      </c>
      <c r="D23" s="1" t="str">
        <f>"(1331.0)"</f>
        <v>(1331.0)</v>
      </c>
      <c r="E23" s="1" t="str">
        <f>"(635.7)"</f>
        <v>(635.7)</v>
      </c>
      <c r="F23" s="1" t="str">
        <f>"(968.7)"</f>
        <v>(968.7)</v>
      </c>
      <c r="G23" s="1" t="str">
        <f>"(2882.7)"</f>
        <v>(2882.7)</v>
      </c>
    </row>
    <row r="24" spans="1:7" x14ac:dyDescent="0.2">
      <c r="A24" s="4" t="str">
        <f>"N"</f>
        <v>N</v>
      </c>
      <c r="B24" s="4" t="str">
        <f>"33627"</f>
        <v>33627</v>
      </c>
      <c r="C24" s="4" t="str">
        <f>"32848"</f>
        <v>32848</v>
      </c>
      <c r="D24" s="4" t="str">
        <f>"35619"</f>
        <v>35619</v>
      </c>
      <c r="E24" s="4" t="str">
        <f>"33269"</f>
        <v>33269</v>
      </c>
      <c r="F24" s="4" t="str">
        <f>"32463"</f>
        <v>32463</v>
      </c>
      <c r="G24" s="4" t="str">
        <f>"35186"</f>
        <v>35186</v>
      </c>
    </row>
    <row r="25" spans="1:7" x14ac:dyDescent="0.2">
      <c r="A25" s="6" t="str">
        <f>"R-sq"</f>
        <v>R-sq</v>
      </c>
      <c r="B25" s="6" t="str">
        <f>"0.003"</f>
        <v>0.003</v>
      </c>
      <c r="C25" s="6" t="str">
        <f>"0.003"</f>
        <v>0.003</v>
      </c>
      <c r="D25" s="6" t="str">
        <f>"0.002"</f>
        <v>0.002</v>
      </c>
      <c r="E25" s="6" t="str">
        <f>"0.016"</f>
        <v>0.016</v>
      </c>
      <c r="F25" s="6" t="str">
        <f>"0.034"</f>
        <v>0.034</v>
      </c>
      <c r="G25" s="6" t="str">
        <f>"0.045"</f>
        <v>0.045</v>
      </c>
    </row>
    <row r="26" spans="1:7" x14ac:dyDescent="0.2">
      <c r="A26" s="1" t="str">
        <f>"Standard errors in parentheses"</f>
        <v>Standard errors in parentheses</v>
      </c>
    </row>
    <row r="27" spans="1:7" x14ac:dyDescent="0.2">
      <c r="A27" s="1" t="s">
        <v>12</v>
      </c>
      <c r="B27" s="1" t="s">
        <v>13</v>
      </c>
      <c r="C27" s="1" t="s">
        <v>14</v>
      </c>
    </row>
  </sheetData>
  <pageMargins left="0.7" right="0.7" top="0.75" bottom="0.75" header="0.3" footer="0.3"/>
  <pageSetup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24"/>
  <sheetViews>
    <sheetView workbookViewId="0">
      <selection activeCell="K30" sqref="K30"/>
    </sheetView>
  </sheetViews>
  <sheetFormatPr baseColWidth="10" defaultColWidth="8.6640625" defaultRowHeight="14" x14ac:dyDescent="0.15"/>
  <cols>
    <col min="1" max="1" width="21.83203125" style="2" customWidth="1"/>
    <col min="2" max="7" width="13.5" style="2" customWidth="1"/>
    <col min="8" max="10" width="8.6640625" style="2"/>
    <col min="11" max="11" width="19.83203125" style="2" customWidth="1"/>
    <col min="12" max="12" width="14.83203125" style="2" customWidth="1"/>
    <col min="13" max="16384" width="8.6640625" style="2"/>
  </cols>
  <sheetData>
    <row r="1" spans="1:13" ht="16" x14ac:dyDescent="0.2">
      <c r="A1" s="1" t="s">
        <v>42</v>
      </c>
      <c r="L1" s="2" t="s">
        <v>48</v>
      </c>
    </row>
    <row r="2" spans="1:13" ht="16" x14ac:dyDescent="0.2">
      <c r="A2" s="3" t="str">
        <f>""</f>
        <v/>
      </c>
      <c r="B2" s="3" t="str">
        <f>"(1)"</f>
        <v>(1)</v>
      </c>
      <c r="C2" s="3" t="str">
        <f>"(2)"</f>
        <v>(2)</v>
      </c>
      <c r="D2" s="3" t="str">
        <f>"(3)"</f>
        <v>(3)</v>
      </c>
      <c r="E2" s="5"/>
      <c r="F2" s="5"/>
      <c r="G2" s="5"/>
      <c r="L2" s="2" t="s">
        <v>41</v>
      </c>
    </row>
    <row r="3" spans="1:13" ht="16" x14ac:dyDescent="0.2">
      <c r="A3" s="3" t="str">
        <f>""</f>
        <v/>
      </c>
      <c r="B3" s="3" t="s">
        <v>0</v>
      </c>
      <c r="C3" s="3" t="s">
        <v>1</v>
      </c>
      <c r="D3" s="3" t="s">
        <v>2</v>
      </c>
      <c r="E3" s="5"/>
      <c r="F3" s="5"/>
      <c r="G3" s="5"/>
    </row>
    <row r="4" spans="1:13" ht="16" x14ac:dyDescent="0.2">
      <c r="A4" s="4" t="s">
        <v>3</v>
      </c>
      <c r="B4" s="4" t="str">
        <f>"1427.8"</f>
        <v>1427.8</v>
      </c>
      <c r="C4" s="4" t="str">
        <f>"38045.6***"</f>
        <v>38045.6***</v>
      </c>
      <c r="D4" s="4" t="str">
        <f>"2138873.4"</f>
        <v>2138873.4</v>
      </c>
      <c r="E4" s="5"/>
      <c r="F4" s="5"/>
      <c r="G4" s="5"/>
    </row>
    <row r="5" spans="1:13" ht="16" x14ac:dyDescent="0.2">
      <c r="A5" s="5"/>
      <c r="B5" s="5" t="str">
        <f>"(2462.7)"</f>
        <v>(2462.7)</v>
      </c>
      <c r="C5" s="5" t="str">
        <f>"(2244.3)"</f>
        <v>(2244.3)</v>
      </c>
      <c r="D5" s="5" t="str">
        <f>"(1396300.6)"</f>
        <v>(1396300.6)</v>
      </c>
      <c r="E5" s="5"/>
      <c r="F5" s="5"/>
      <c r="G5" s="5"/>
    </row>
    <row r="6" spans="1:13" ht="16" x14ac:dyDescent="0.2">
      <c r="A6" s="5" t="s">
        <v>9</v>
      </c>
      <c r="B6" s="5" t="str">
        <f>"-16675.8***"</f>
        <v>-16675.8***</v>
      </c>
      <c r="C6" s="5" t="str">
        <f>"67065.5***"</f>
        <v>67065.5***</v>
      </c>
      <c r="D6" s="5" t="str">
        <f>"734021.8**"</f>
        <v>734021.8**</v>
      </c>
      <c r="E6" s="5"/>
      <c r="F6" s="5"/>
      <c r="G6" s="5"/>
    </row>
    <row r="7" spans="1:13" ht="16" x14ac:dyDescent="0.2">
      <c r="A7" s="6"/>
      <c r="B7" s="6" t="str">
        <f>"(608.9)"</f>
        <v>(608.9)</v>
      </c>
      <c r="C7" s="6" t="str">
        <f>"(544.3)"</f>
        <v>(544.3)</v>
      </c>
      <c r="D7" s="6" t="str">
        <f>"(359255.3)"</f>
        <v>(359255.3)</v>
      </c>
      <c r="E7" s="5"/>
      <c r="F7" s="5"/>
      <c r="G7" s="5"/>
    </row>
    <row r="8" spans="1:13" ht="16" x14ac:dyDescent="0.2">
      <c r="A8" s="4" t="s">
        <v>10</v>
      </c>
      <c r="B8" s="4" t="str">
        <f>"6279"</f>
        <v>6279</v>
      </c>
      <c r="C8" s="4" t="str">
        <f>"5255"</f>
        <v>5255</v>
      </c>
      <c r="D8" s="4" t="str">
        <f>"3971"</f>
        <v>3971</v>
      </c>
      <c r="E8" s="5"/>
      <c r="F8" s="5"/>
      <c r="G8" s="5"/>
      <c r="L8" s="2" t="s">
        <v>50</v>
      </c>
      <c r="M8" s="2" t="s">
        <v>51</v>
      </c>
    </row>
    <row r="9" spans="1:13" ht="16" x14ac:dyDescent="0.2">
      <c r="A9" s="6" t="s">
        <v>11</v>
      </c>
      <c r="B9" s="6" t="str">
        <f>"0.000"</f>
        <v>0.000</v>
      </c>
      <c r="C9" s="6" t="str">
        <f>"0.216"</f>
        <v>0.216</v>
      </c>
      <c r="D9" s="6" t="str">
        <f>"0.003"</f>
        <v>0.003</v>
      </c>
      <c r="E9" s="5"/>
      <c r="F9" s="5"/>
      <c r="G9" s="5"/>
      <c r="L9" s="39">
        <v>1</v>
      </c>
      <c r="M9" s="35">
        <v>0.35044259999999999</v>
      </c>
    </row>
    <row r="10" spans="1:13" x14ac:dyDescent="0.15">
      <c r="A10" s="2" t="str">
        <f>"Standard errors in parentheses"</f>
        <v>Standard errors in parentheses</v>
      </c>
      <c r="L10" s="40">
        <v>2</v>
      </c>
      <c r="M10" s="36">
        <v>0.26541409999999999</v>
      </c>
    </row>
    <row r="11" spans="1:13" x14ac:dyDescent="0.15">
      <c r="A11" s="2" t="s">
        <v>12</v>
      </c>
      <c r="B11" s="2" t="s">
        <v>13</v>
      </c>
      <c r="C11" s="2" t="s">
        <v>14</v>
      </c>
      <c r="L11" s="41">
        <v>3</v>
      </c>
      <c r="M11" s="37">
        <v>0.2487547</v>
      </c>
    </row>
    <row r="12" spans="1:13" x14ac:dyDescent="0.15">
      <c r="L12" s="42" t="s">
        <v>49</v>
      </c>
      <c r="M12" s="38">
        <v>0.28947349999999999</v>
      </c>
    </row>
    <row r="14" spans="1:13" ht="16" x14ac:dyDescent="0.2">
      <c r="A14" s="1" t="s">
        <v>43</v>
      </c>
    </row>
    <row r="15" spans="1:13" ht="16" x14ac:dyDescent="0.2">
      <c r="A15" s="3" t="str">
        <f>""</f>
        <v/>
      </c>
      <c r="B15" s="3" t="str">
        <f>"(1)"</f>
        <v>(1)</v>
      </c>
      <c r="C15" s="3" t="str">
        <f>"(2)"</f>
        <v>(2)</v>
      </c>
      <c r="D15" s="3" t="str">
        <f>"(3)"</f>
        <v>(3)</v>
      </c>
    </row>
    <row r="16" spans="1:13" ht="16" x14ac:dyDescent="0.2">
      <c r="A16" s="3" t="str">
        <f>""</f>
        <v/>
      </c>
      <c r="B16" s="3" t="s">
        <v>0</v>
      </c>
      <c r="C16" s="3" t="s">
        <v>1</v>
      </c>
      <c r="D16" s="3" t="s">
        <v>2</v>
      </c>
    </row>
    <row r="17" spans="1:4" ht="16" x14ac:dyDescent="0.2">
      <c r="A17" s="4" t="s">
        <v>3</v>
      </c>
      <c r="B17" s="4" t="str">
        <f>"427.8"</f>
        <v>427.8</v>
      </c>
      <c r="C17" s="4" t="str">
        <f>"40564.1***"</f>
        <v>40564.1***</v>
      </c>
      <c r="D17" s="4" t="str">
        <f>"531382.4***"</f>
        <v>531382.4***</v>
      </c>
    </row>
    <row r="18" spans="1:4" ht="16" x14ac:dyDescent="0.2">
      <c r="A18" s="5"/>
      <c r="B18" s="5" t="str">
        <f>"(5005.1)"</f>
        <v>(5005.1)</v>
      </c>
      <c r="C18" s="5" t="str">
        <f>"(3562.1)"</f>
        <v>(3562.1)</v>
      </c>
      <c r="D18" s="5" t="str">
        <f>"(160029.6)"</f>
        <v>(160029.6)</v>
      </c>
    </row>
    <row r="19" spans="1:4" ht="16" x14ac:dyDescent="0.2">
      <c r="A19" s="5" t="s">
        <v>9</v>
      </c>
      <c r="B19" s="5" t="str">
        <f>"-25555.1***"</f>
        <v>-25555.1***</v>
      </c>
      <c r="C19" s="5" t="str">
        <f>"61408.5***"</f>
        <v>61408.5***</v>
      </c>
      <c r="D19" s="5" t="str">
        <f>"747038.4***"</f>
        <v>747038.4***</v>
      </c>
    </row>
    <row r="20" spans="1:4" ht="16" x14ac:dyDescent="0.2">
      <c r="A20" s="6"/>
      <c r="B20" s="6" t="str">
        <f>"(1347.2)"</f>
        <v>(1347.2)</v>
      </c>
      <c r="C20" s="6" t="str">
        <f>"(810.9)"</f>
        <v>(810.9)</v>
      </c>
      <c r="D20" s="6" t="str">
        <f>"(41351.6)"</f>
        <v>(41351.6)</v>
      </c>
    </row>
    <row r="21" spans="1:4" ht="16" x14ac:dyDescent="0.2">
      <c r="A21" s="4" t="s">
        <v>10</v>
      </c>
      <c r="B21" s="4" t="str">
        <f>"3118"</f>
        <v>3118</v>
      </c>
      <c r="C21" s="4" t="str">
        <f>"1928"</f>
        <v>1928</v>
      </c>
      <c r="D21" s="4" t="str">
        <f>"1312"</f>
        <v>1312</v>
      </c>
    </row>
    <row r="22" spans="1:4" ht="16" x14ac:dyDescent="0.2">
      <c r="A22" s="6" t="s">
        <v>11</v>
      </c>
      <c r="B22" s="6" t="str">
        <f>"0.000"</f>
        <v>0.000</v>
      </c>
      <c r="C22" s="6" t="str">
        <f>"0.242"</f>
        <v>0.242</v>
      </c>
      <c r="D22" s="6" t="str">
        <f>"0.017"</f>
        <v>0.017</v>
      </c>
    </row>
    <row r="23" spans="1:4" x14ac:dyDescent="0.15">
      <c r="A23" s="2" t="str">
        <f>"Standard errors in parentheses"</f>
        <v>Standard errors in parentheses</v>
      </c>
    </row>
    <row r="24" spans="1:4" x14ac:dyDescent="0.15">
      <c r="A24" s="2" t="s">
        <v>12</v>
      </c>
      <c r="B24" s="2" t="s">
        <v>13</v>
      </c>
      <c r="C24" s="2" t="s">
        <v>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Box Figure 1</vt:lpstr>
      <vt:lpstr>Box Figure 2</vt:lpstr>
      <vt:lpstr>Figure 1</vt:lpstr>
      <vt:lpstr>Figure 2</vt:lpstr>
      <vt:lpstr>Figure 3</vt:lpstr>
      <vt:lpstr>Figure 4</vt:lpstr>
      <vt:lpstr>Table 6 (2)</vt:lpstr>
      <vt:lpstr>Table wages</vt:lpstr>
      <vt:lpstr>Table 4 (2)</vt:lpstr>
      <vt:lpstr>Table 5 (2)</vt:lpstr>
      <vt:lpstr>Table 11</vt:lpstr>
      <vt:lpstr>Table 12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Nilufer Gok</dc:creator>
  <cp:lastModifiedBy>Amy Grzybowski</cp:lastModifiedBy>
  <dcterms:created xsi:type="dcterms:W3CDTF">2022-09-01T13:53:57Z</dcterms:created>
  <dcterms:modified xsi:type="dcterms:W3CDTF">2022-10-24T14:03:42Z</dcterms:modified>
</cp:coreProperties>
</file>