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20-14 Career extenders\Data download\"/>
    </mc:Choice>
  </mc:AlternateContent>
  <bookViews>
    <workbookView xWindow="0" yWindow="720" windowWidth="28215" windowHeight="24435"/>
  </bookViews>
  <sheets>
    <sheet name="Figure 1" sheetId="17" r:id="rId1"/>
    <sheet name="Figure 2" sheetId="21" r:id="rId2"/>
    <sheet name="Figure 3" sheetId="18" r:id="rId3"/>
    <sheet name="Figure 4" sheetId="16" r:id="rId4"/>
    <sheet name="Sheet4" sheetId="1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4" l="1"/>
  <c r="G2" i="14"/>
  <c r="I2" i="14"/>
  <c r="F3" i="14"/>
  <c r="G3" i="14"/>
  <c r="I3" i="14"/>
  <c r="F4" i="14"/>
  <c r="G4" i="14"/>
  <c r="I4" i="14"/>
  <c r="F5" i="14"/>
  <c r="G5" i="14"/>
  <c r="I5" i="14"/>
  <c r="F6" i="14"/>
  <c r="G6" i="14"/>
  <c r="I6" i="14"/>
  <c r="F7" i="14"/>
  <c r="G7" i="14"/>
  <c r="I7" i="14"/>
  <c r="F8" i="14"/>
  <c r="G8" i="14"/>
  <c r="I8" i="14"/>
  <c r="F9" i="14"/>
  <c r="G9" i="14"/>
  <c r="I9" i="14"/>
  <c r="F10" i="14"/>
  <c r="G10" i="14"/>
  <c r="I10" i="14"/>
  <c r="F11" i="14"/>
  <c r="G11" i="14"/>
  <c r="I11" i="14"/>
  <c r="F12" i="14"/>
  <c r="G12" i="14"/>
  <c r="I12" i="14"/>
  <c r="F13" i="14"/>
  <c r="G13" i="14"/>
  <c r="I13" i="14"/>
  <c r="F14" i="14"/>
  <c r="G14" i="14"/>
  <c r="I14" i="14"/>
  <c r="F15" i="14"/>
  <c r="G15" i="14"/>
  <c r="I15" i="14"/>
  <c r="F16" i="14"/>
  <c r="G16" i="14"/>
  <c r="I16" i="14"/>
  <c r="F17" i="14"/>
  <c r="G17" i="14"/>
  <c r="I17" i="14"/>
  <c r="F18" i="14"/>
  <c r="G18" i="14"/>
  <c r="I18" i="14"/>
  <c r="F19" i="14"/>
  <c r="G19" i="14"/>
  <c r="I19" i="14"/>
  <c r="F20" i="14"/>
  <c r="G20" i="14"/>
  <c r="I20" i="14"/>
  <c r="F21" i="14"/>
  <c r="G21" i="14"/>
  <c r="I21" i="14"/>
  <c r="F22" i="14"/>
  <c r="G22" i="14"/>
  <c r="I22" i="14"/>
  <c r="F23" i="14"/>
  <c r="G23" i="14"/>
  <c r="I23" i="14"/>
  <c r="F24" i="14"/>
  <c r="G24" i="14"/>
  <c r="I24" i="14"/>
  <c r="F25" i="14"/>
  <c r="G25" i="14"/>
  <c r="I25" i="14"/>
  <c r="F26" i="14"/>
  <c r="G26" i="14"/>
  <c r="I26" i="14"/>
  <c r="F27" i="14"/>
  <c r="G27" i="14"/>
  <c r="I27" i="14"/>
  <c r="F30" i="14"/>
  <c r="G30" i="14"/>
  <c r="I30" i="14"/>
  <c r="F31" i="14"/>
  <c r="G31" i="14"/>
  <c r="I31" i="14"/>
  <c r="F32" i="14"/>
  <c r="G32" i="14"/>
  <c r="I32" i="14"/>
  <c r="F33" i="14"/>
  <c r="G33" i="14"/>
  <c r="I33" i="14"/>
  <c r="F34" i="14"/>
  <c r="G34" i="14"/>
  <c r="I34" i="14"/>
  <c r="F35" i="14"/>
  <c r="G35" i="14"/>
  <c r="I35" i="14"/>
  <c r="F37" i="14"/>
  <c r="G37" i="14"/>
  <c r="I37" i="14"/>
  <c r="F38" i="14"/>
  <c r="G38" i="14"/>
  <c r="I38" i="14"/>
  <c r="F40" i="14"/>
  <c r="G40" i="14"/>
  <c r="I40" i="14"/>
  <c r="F41" i="14"/>
  <c r="G41" i="14"/>
  <c r="I41" i="14"/>
  <c r="F43" i="14"/>
  <c r="A43" i="14" l="1"/>
  <c r="D41" i="14"/>
  <c r="B41" i="14"/>
  <c r="A41" i="14"/>
  <c r="D40" i="14"/>
  <c r="B40" i="14"/>
  <c r="A40" i="14"/>
  <c r="D38" i="14"/>
  <c r="B38" i="14"/>
  <c r="A38" i="14"/>
  <c r="D37" i="14"/>
  <c r="B37" i="14"/>
  <c r="A37" i="14"/>
  <c r="D35" i="14"/>
  <c r="B35" i="14"/>
  <c r="A35" i="14"/>
  <c r="D34" i="14"/>
  <c r="B34" i="14"/>
  <c r="A34" i="14"/>
  <c r="D33" i="14"/>
  <c r="B33" i="14"/>
  <c r="A33" i="14"/>
  <c r="D32" i="14"/>
  <c r="B32" i="14"/>
  <c r="A32" i="14"/>
  <c r="D31" i="14"/>
  <c r="B31" i="14"/>
  <c r="A31" i="14"/>
  <c r="D30" i="14"/>
  <c r="B30" i="14"/>
  <c r="A30" i="14"/>
  <c r="D27" i="14"/>
  <c r="B27" i="14"/>
  <c r="A27" i="14"/>
  <c r="D26" i="14"/>
  <c r="B26" i="14"/>
  <c r="A26" i="14"/>
  <c r="D25" i="14"/>
  <c r="B25" i="14"/>
  <c r="A25" i="14"/>
  <c r="D24" i="14"/>
  <c r="B24" i="14"/>
  <c r="A24" i="14"/>
  <c r="D23" i="14"/>
  <c r="B23" i="14"/>
  <c r="A23" i="14"/>
  <c r="D22" i="14"/>
  <c r="B22" i="14"/>
  <c r="A22" i="14"/>
  <c r="D21" i="14"/>
  <c r="B21" i="14"/>
  <c r="A21" i="14"/>
  <c r="D20" i="14"/>
  <c r="B20" i="14"/>
  <c r="A20" i="14"/>
  <c r="D19" i="14"/>
  <c r="B19" i="14"/>
  <c r="A19" i="14"/>
  <c r="D18" i="14"/>
  <c r="B18" i="14"/>
  <c r="A18" i="14"/>
  <c r="D17" i="14"/>
  <c r="B17" i="14"/>
  <c r="A17" i="14"/>
  <c r="D16" i="14"/>
  <c r="B16" i="14"/>
  <c r="A16" i="14"/>
  <c r="D15" i="14"/>
  <c r="B15" i="14"/>
  <c r="A15" i="14"/>
  <c r="D14" i="14"/>
  <c r="B14" i="14"/>
  <c r="A14" i="14"/>
  <c r="D13" i="14"/>
  <c r="B13" i="14"/>
  <c r="A13" i="14"/>
  <c r="D12" i="14"/>
  <c r="B12" i="14"/>
  <c r="A12" i="14"/>
  <c r="D11" i="14"/>
  <c r="B11" i="14"/>
  <c r="A11" i="14"/>
  <c r="D10" i="14"/>
  <c r="B10" i="14"/>
  <c r="A10" i="14"/>
  <c r="D9" i="14"/>
  <c r="B9" i="14"/>
  <c r="A9" i="14"/>
  <c r="D8" i="14"/>
  <c r="B8" i="14"/>
  <c r="A8" i="14"/>
  <c r="D7" i="14"/>
  <c r="B7" i="14"/>
  <c r="A7" i="14"/>
  <c r="D6" i="14"/>
  <c r="B6" i="14"/>
  <c r="A6" i="14"/>
  <c r="D5" i="14"/>
  <c r="B5" i="14"/>
  <c r="A5" i="14"/>
  <c r="D4" i="14"/>
  <c r="B4" i="14"/>
  <c r="A4" i="14"/>
  <c r="D3" i="14"/>
  <c r="B3" i="14"/>
  <c r="A3" i="14"/>
  <c r="D2" i="14"/>
  <c r="B2" i="14"/>
  <c r="A2" i="14"/>
</calcChain>
</file>

<file path=xl/sharedStrings.xml><?xml version="1.0" encoding="utf-8"?>
<sst xmlns="http://schemas.openxmlformats.org/spreadsheetml/2006/main" count="38" uniqueCount="21">
  <si>
    <t>Work status after age 62</t>
  </si>
  <si>
    <t>Any nontraditional work</t>
  </si>
  <si>
    <t>Only traditional work</t>
  </si>
  <si>
    <t>="* p&lt;0.05</t>
  </si>
  <si>
    <t xml:space="preserve"> ** p&lt;0.01</t>
  </si>
  <si>
    <t xml:space="preserve"> *** p&lt;0.001"</t>
  </si>
  <si>
    <t>No further work</t>
  </si>
  <si>
    <t>Projected replacement rate</t>
  </si>
  <si>
    <t>At-risk sample</t>
  </si>
  <si>
    <t>Age 61-62</t>
  </si>
  <si>
    <t>Age 67-68</t>
  </si>
  <si>
    <t>Marginal effect</t>
  </si>
  <si>
    <r>
      <t xml:space="preserve">Figure 1. </t>
    </r>
    <r>
      <rPr>
        <i/>
        <sz val="12"/>
        <color theme="1"/>
        <rFont val="Times New Roman"/>
        <family val="1"/>
      </rPr>
      <t>Average Replacement Rates as of Age 62, by Work Status after 62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</si>
  <si>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</si>
  <si>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Estimated Marginal Effect of the Retirement Security Gap on Work Status after Age 62</t>
    </r>
  </si>
  <si>
    <t>Notes: Solid bars are statistically significant at the 5-percent level.  The retirement security gap is the percentage-point difference between the target and actual replacement rates.</t>
  </si>
  <si>
    <r>
      <t xml:space="preserve">Figure 3. </t>
    </r>
    <r>
      <rPr>
        <i/>
        <sz val="12"/>
        <color theme="1"/>
        <rFont val="Times New Roman"/>
        <family val="1"/>
      </rPr>
      <t>Average Replacement Rates at Ages 61-62 and 67-68 for Underprepared Workers, by Work Status after Age 62</t>
    </r>
  </si>
  <si>
    <t>Note: The target replacement rate varies between 73 percent and 75 percent.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</si>
  <si>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Rutledge and Wettstein (2020).</t>
    </r>
  </si>
  <si>
    <r>
      <t>Figure 4.</t>
    </r>
    <r>
      <rPr>
        <i/>
        <sz val="12"/>
        <color theme="1"/>
        <rFont val="Times New Roman"/>
        <family val="1"/>
      </rPr>
      <t xml:space="preserve"> Estimated Marginal Effect of Work Status after Age 62 on the Retirement Security Gap at Ages 67-68</t>
    </r>
  </si>
  <si>
    <r>
      <t xml:space="preserve">Notes: The results above change the coefficients’ signs so that a positive change is an improvement in retirement security.  Both bars are statistically significant at the 5 percent level. The difference </t>
    </r>
    <r>
      <rPr>
        <i/>
        <sz val="10"/>
        <color theme="1"/>
        <rFont val="Times New Roman"/>
        <family val="1"/>
      </rPr>
      <t>between</t>
    </r>
    <r>
      <rPr>
        <sz val="10"/>
        <color theme="1"/>
        <rFont val="Times New Roman"/>
        <family val="1"/>
      </rPr>
      <t xml:space="preserve"> the two bars is not significant.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</si>
</sst>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/>
    <xf numFmtId="2" fontId="2" fillId="0" borderId="0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4" fillId="0" borderId="0" xfId="0" applyFont="1" applyBorder="1"/>
    <xf numFmtId="0" fontId="1" fillId="0" borderId="0" xfId="0" applyFont="1" applyBorder="1"/>
    <xf numFmtId="164" fontId="2" fillId="0" borderId="0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9F8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489063867017"/>
          <c:y val="2.6359205099362581E-2"/>
          <c:w val="0.88087510936132984"/>
          <c:h val="0.807626234220722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1'!$B$25:$D$25</c:f>
              <c:strCache>
                <c:ptCount val="3"/>
                <c:pt idx="0">
                  <c:v>Any nontraditional work</c:v>
                </c:pt>
                <c:pt idx="1">
                  <c:v>Only traditional work</c:v>
                </c:pt>
                <c:pt idx="2">
                  <c:v>No further work</c:v>
                </c:pt>
              </c:strCache>
            </c:strRef>
          </c:cat>
          <c:val>
            <c:numRef>
              <c:f>'Figure 1'!$B$26:$D$26</c:f>
              <c:numCache>
                <c:formatCode>0.0%</c:formatCode>
                <c:ptCount val="3"/>
                <c:pt idx="0">
                  <c:v>0.8340220857627717</c:v>
                </c:pt>
                <c:pt idx="1">
                  <c:v>0.77597955418247311</c:v>
                </c:pt>
                <c:pt idx="2">
                  <c:v>0.80843192213854431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5-44E8-BF39-1B1B2FE18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411304"/>
        <c:axId val="459418192"/>
      </c:barChart>
      <c:catAx>
        <c:axId val="459411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9418192"/>
        <c:crosses val="autoZero"/>
        <c:auto val="1"/>
        <c:lblAlgn val="ctr"/>
        <c:lblOffset val="100"/>
        <c:noMultiLvlLbl val="0"/>
      </c:catAx>
      <c:valAx>
        <c:axId val="459418192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941130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898972003499561"/>
          <c:y val="1.5873015873015872E-2"/>
          <c:w val="0.55379505686789154"/>
          <c:h val="0.89717597800274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F9-45D3-AF6F-7C82E0B127E8}"/>
              </c:ext>
            </c:extLst>
          </c:dPt>
          <c:dLbls>
            <c:dLbl>
              <c:idx val="0"/>
              <c:layout>
                <c:manualLayout>
                  <c:x val="-1.388867016622922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49-DC46-8DB4-AB321F8505EE}"/>
                </c:ext>
              </c:extLst>
            </c:dLbl>
            <c:dLbl>
              <c:idx val="2"/>
              <c:layout>
                <c:manualLayout>
                  <c:x val="-8.33872250430405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F9-45D3-AF6F-7C82E0B127E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2'!$A$26:$A$28</c:f>
              <c:strCache>
                <c:ptCount val="3"/>
                <c:pt idx="0">
                  <c:v>No further work</c:v>
                </c:pt>
                <c:pt idx="1">
                  <c:v>Only traditional work</c:v>
                </c:pt>
                <c:pt idx="2">
                  <c:v>Any nontraditional work</c:v>
                </c:pt>
              </c:strCache>
            </c:strRef>
          </c:cat>
          <c:val>
            <c:numRef>
              <c:f>'Figure 2'!$B$26:$B$28</c:f>
              <c:numCache>
                <c:formatCode>0.00%</c:formatCode>
                <c:ptCount val="3"/>
                <c:pt idx="0">
                  <c:v>-8.4481200000000006E-2</c:v>
                </c:pt>
                <c:pt idx="1">
                  <c:v>0.1447437</c:v>
                </c:pt>
                <c:pt idx="2">
                  <c:v>-6.0262400000000001E-2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9-45D3-AF6F-7C82E0B12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7838568"/>
        <c:axId val="557844472"/>
      </c:barChart>
      <c:catAx>
        <c:axId val="557838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7844472"/>
        <c:crosses val="autoZero"/>
        <c:auto val="1"/>
        <c:lblAlgn val="ctr"/>
        <c:lblOffset val="500"/>
        <c:noMultiLvlLbl val="0"/>
      </c:catAx>
      <c:valAx>
        <c:axId val="5578444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7838568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489063867017"/>
          <c:y val="2.6275789893351938E-2"/>
          <c:w val="0.88087510936132984"/>
          <c:h val="0.80762623422072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3'!$A$27</c:f>
              <c:strCache>
                <c:ptCount val="1"/>
                <c:pt idx="0">
                  <c:v>Age 61-62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500000000000254E-3"/>
                  <c:y val="1.5822709661292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FB-41B0-9A82-2F1DEE5F936D}"/>
                </c:ext>
              </c:extLst>
            </c:dLbl>
            <c:dLbl>
              <c:idx val="1"/>
              <c:layout>
                <c:manualLayout>
                  <c:x val="-2.7408136482939631E-3"/>
                  <c:y val="1.583520809898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D6-4A50-9C18-A1A5132C0EEE}"/>
                </c:ext>
              </c:extLst>
            </c:dLbl>
            <c:dLbl>
              <c:idx val="2"/>
              <c:layout>
                <c:manualLayout>
                  <c:x val="-2.7408136482939631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3FB-41B0-9A82-2F1DEE5F93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3'!$B$26:$D$26</c:f>
              <c:strCache>
                <c:ptCount val="3"/>
                <c:pt idx="0">
                  <c:v>Any nontraditional work</c:v>
                </c:pt>
                <c:pt idx="1">
                  <c:v>Only traditional work</c:v>
                </c:pt>
                <c:pt idx="2">
                  <c:v>No further work</c:v>
                </c:pt>
              </c:strCache>
            </c:strRef>
          </c:cat>
          <c:val>
            <c:numRef>
              <c:f>'Figure 3'!$B$27:$D$27</c:f>
              <c:numCache>
                <c:formatCode>0.00%</c:formatCode>
                <c:ptCount val="3"/>
                <c:pt idx="0">
                  <c:v>0.52372090000000004</c:v>
                </c:pt>
                <c:pt idx="1">
                  <c:v>0.50690000000000002</c:v>
                </c:pt>
                <c:pt idx="2">
                  <c:v>0.50279989999999997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B-41B0-9A82-2F1DEE5F936D}"/>
            </c:ext>
          </c:extLst>
        </c:ser>
        <c:ser>
          <c:idx val="1"/>
          <c:order val="1"/>
          <c:tx>
            <c:strRef>
              <c:f>'Figure 3'!$A$28</c:f>
              <c:strCache>
                <c:ptCount val="1"/>
                <c:pt idx="0">
                  <c:v>Age 67-68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685914260717412E-3"/>
                  <c:y val="1.9791119860017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61111111111108E-2"/>
                      <c:h val="6.32539682539682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3FB-41B0-9A82-2F1DEE5F936D}"/>
                </c:ext>
              </c:extLst>
            </c:dLbl>
            <c:dLbl>
              <c:idx val="1"/>
              <c:layout>
                <c:manualLayout>
                  <c:x val="5.5555555555555558E-3"/>
                  <c:y val="2.3809523809523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F2-0D43-971B-A8E829EB2825}"/>
                </c:ext>
              </c:extLst>
            </c:dLbl>
            <c:dLbl>
              <c:idx val="2"/>
              <c:layout>
                <c:manualLayout>
                  <c:x val="8.3333333333331303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1E6-FF44-A0EB-DA4F7E25F5D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3'!$B$26:$D$26</c:f>
              <c:strCache>
                <c:ptCount val="3"/>
                <c:pt idx="0">
                  <c:v>Any nontraditional work</c:v>
                </c:pt>
                <c:pt idx="1">
                  <c:v>Only traditional work</c:v>
                </c:pt>
                <c:pt idx="2">
                  <c:v>No further work</c:v>
                </c:pt>
              </c:strCache>
            </c:strRef>
          </c:cat>
          <c:val>
            <c:numRef>
              <c:f>'Figure 3'!$B$28:$D$28</c:f>
              <c:numCache>
                <c:formatCode>0.00%</c:formatCode>
                <c:ptCount val="3"/>
                <c:pt idx="0">
                  <c:v>0.67790050000000002</c:v>
                </c:pt>
                <c:pt idx="1">
                  <c:v>0.64570000000000005</c:v>
                </c:pt>
                <c:pt idx="2">
                  <c:v>0.47206809999999999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FB-41B0-9A82-2F1DEE5F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9486448"/>
        <c:axId val="439488744"/>
      </c:barChart>
      <c:catAx>
        <c:axId val="4394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9488744"/>
        <c:crosses val="autoZero"/>
        <c:auto val="1"/>
        <c:lblAlgn val="ctr"/>
        <c:lblOffset val="100"/>
        <c:noMultiLvlLbl val="0"/>
      </c:catAx>
      <c:valAx>
        <c:axId val="4394887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948644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4470406824146977"/>
          <c:y val="7.1129233845769274E-2"/>
          <c:w val="0.44283245844269464"/>
          <c:h val="8.8587051618547685E-2"/>
        </c:manualLayout>
      </c:layout>
      <c:overlay val="1"/>
      <c:spPr>
        <a:solidFill>
          <a:schemeClr val="bg1"/>
        </a:solidFill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209842519685037"/>
          <c:y val="1.5873015873015872E-2"/>
          <c:w val="0.59068635170603678"/>
          <c:h val="0.897142857142857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Any nontraditional work</c:v>
                </c:pt>
                <c:pt idx="1">
                  <c:v>Only traditional work</c:v>
                </c:pt>
              </c:strCache>
            </c:strRef>
          </c:cat>
          <c:val>
            <c:numRef>
              <c:f>'Figure 4'!$B$26:$B$27</c:f>
              <c:numCache>
                <c:formatCode>0.00%</c:formatCode>
                <c:ptCount val="2"/>
                <c:pt idx="0">
                  <c:v>0.19600000000000001</c:v>
                </c:pt>
                <c:pt idx="1">
                  <c:v>0.14399999999999999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4-4EE2-B11A-0E3332460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474118768"/>
        <c:axId val="474125328"/>
      </c:barChart>
      <c:catAx>
        <c:axId val="474118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4125328"/>
        <c:crosses val="autoZero"/>
        <c:auto val="1"/>
        <c:lblAlgn val="ctr"/>
        <c:lblOffset val="100"/>
        <c:noMultiLvlLbl val="0"/>
      </c:catAx>
      <c:valAx>
        <c:axId val="4741253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4118768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22225</xdr:rowOff>
    </xdr:from>
    <xdr:to>
      <xdr:col>3</xdr:col>
      <xdr:colOff>787400</xdr:colOff>
      <xdr:row>17</xdr:row>
      <xdr:rowOff>187325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38100</xdr:rowOff>
    </xdr:from>
    <xdr:to>
      <xdr:col>4</xdr:col>
      <xdr:colOff>457200</xdr:colOff>
      <xdr:row>18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</xdr:row>
      <xdr:rowOff>60324</xdr:rowOff>
    </xdr:from>
    <xdr:to>
      <xdr:col>3</xdr:col>
      <xdr:colOff>552450</xdr:colOff>
      <xdr:row>18</xdr:row>
      <xdr:rowOff>34924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0.5625</cdr:x>
      <cdr:y>0.06845</cdr:y>
    </cdr:from>
    <cdr:to>
      <cdr:x>0.99722</cdr:x>
      <cdr:y>0.15774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2B8E939C-103B-0C4F-B63B-3514CB03DBC4}"/>
            </a:ext>
          </a:extLst>
        </cdr:cNvPr>
        <cdr:cNvSpPr/>
      </cdr:nvSpPr>
      <cdr:spPr>
        <a:xfrm xmlns:a="http://schemas.openxmlformats.org/drawingml/2006/main">
          <a:off x="2571750" y="219067"/>
          <a:ext cx="1987540" cy="2857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0.11806</cdr:x>
      <cdr:y>0.24306</cdr:y>
    </cdr:from>
    <cdr:to>
      <cdr:x>1</cdr:x>
      <cdr:y>0.24306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6921C5F5-F35B-E243-AF9D-4906EE7B510C}"/>
            </a:ext>
          </a:extLst>
        </cdr:cNvPr>
        <cdr:cNvCxnSpPr/>
      </cdr:nvCxnSpPr>
      <cdr:spPr>
        <a:xfrm xmlns:a="http://schemas.openxmlformats.org/drawingml/2006/main">
          <a:off x="539750" y="777876"/>
          <a:ext cx="40322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0.11944</cdr:x>
      <cdr:y>0.16171</cdr:y>
    </cdr:from>
    <cdr:to>
      <cdr:x>1</cdr:x>
      <cdr:y>0.26885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8356EF00-8BBD-4B4D-B91C-7753433F4BCF}"/>
            </a:ext>
          </a:extLst>
        </cdr:cNvPr>
        <cdr:cNvSpPr txBox="1"/>
      </cdr:nvSpPr>
      <cdr:spPr>
        <a:xfrm xmlns:a="http://schemas.openxmlformats.org/drawingml/2006/main">
          <a:off x="546080" y="517539"/>
          <a:ext cx="4025920" cy="342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Avg.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target replacement rate = 74%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25400</xdr:rowOff>
    </xdr:from>
    <xdr:to>
      <xdr:col>4</xdr:col>
      <xdr:colOff>444500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125" zoomScaleNormal="125" workbookViewId="0"/>
  </sheetViews>
  <sheetFormatPr defaultColWidth="8.7109375" defaultRowHeight="15.75" x14ac:dyDescent="0.25"/>
  <cols>
    <col min="1" max="1" width="23.28515625" style="2" customWidth="1"/>
    <col min="2" max="4" width="13.140625" style="16" customWidth="1"/>
    <col min="5" max="5" width="11.42578125" style="13" customWidth="1"/>
    <col min="6" max="6" width="22.85546875" style="6" customWidth="1"/>
    <col min="7" max="16384" width="8.7109375" style="2"/>
  </cols>
  <sheetData>
    <row r="1" spans="1:6" x14ac:dyDescent="0.25">
      <c r="A1" s="2" t="s">
        <v>12</v>
      </c>
    </row>
    <row r="4" spans="1:6" x14ac:dyDescent="0.25">
      <c r="F4" s="7"/>
    </row>
    <row r="5" spans="1:6" x14ac:dyDescent="0.25">
      <c r="E5" s="17"/>
    </row>
    <row r="6" spans="1:6" x14ac:dyDescent="0.25">
      <c r="A6" s="8"/>
      <c r="B6" s="13"/>
      <c r="E6" s="16"/>
      <c r="F6" s="2"/>
    </row>
    <row r="7" spans="1:6" x14ac:dyDescent="0.25">
      <c r="A7" s="8"/>
      <c r="B7" s="13"/>
      <c r="E7" s="16"/>
      <c r="F7" s="2"/>
    </row>
    <row r="8" spans="1:6" ht="15.75" customHeight="1" x14ac:dyDescent="0.25">
      <c r="A8" s="8"/>
      <c r="B8" s="13"/>
      <c r="E8" s="16"/>
      <c r="F8" s="2"/>
    </row>
    <row r="9" spans="1:6" x14ac:dyDescent="0.25">
      <c r="A9" s="8"/>
      <c r="B9" s="13"/>
      <c r="E9" s="16"/>
      <c r="F9" s="2"/>
    </row>
    <row r="10" spans="1:6" x14ac:dyDescent="0.25">
      <c r="A10" s="8"/>
      <c r="B10" s="13"/>
      <c r="E10" s="16"/>
      <c r="F10" s="2"/>
    </row>
    <row r="11" spans="1:6" x14ac:dyDescent="0.25">
      <c r="A11" s="8"/>
      <c r="B11" s="13"/>
      <c r="E11" s="16"/>
      <c r="F11" s="2"/>
    </row>
    <row r="12" spans="1:6" x14ac:dyDescent="0.25">
      <c r="A12" s="8"/>
      <c r="B12" s="13"/>
      <c r="E12" s="16"/>
      <c r="F12" s="2"/>
    </row>
    <row r="13" spans="1:6" x14ac:dyDescent="0.25">
      <c r="A13" s="8"/>
      <c r="B13" s="13"/>
      <c r="E13" s="16"/>
      <c r="F13" s="2"/>
    </row>
    <row r="14" spans="1:6" x14ac:dyDescent="0.25">
      <c r="A14" s="8"/>
      <c r="B14" s="13"/>
      <c r="E14" s="16"/>
      <c r="F14" s="2"/>
    </row>
    <row r="15" spans="1:6" x14ac:dyDescent="0.25">
      <c r="A15" s="8"/>
      <c r="B15" s="13"/>
      <c r="E15" s="16"/>
      <c r="F15" s="2"/>
    </row>
    <row r="16" spans="1:6" x14ac:dyDescent="0.25">
      <c r="A16" s="6"/>
      <c r="B16" s="13"/>
      <c r="E16" s="16"/>
      <c r="F16" s="2"/>
    </row>
    <row r="17" spans="1:6" x14ac:dyDescent="0.25">
      <c r="A17" s="6"/>
      <c r="B17" s="13"/>
      <c r="E17" s="16"/>
      <c r="F17" s="2"/>
    </row>
    <row r="18" spans="1:6" x14ac:dyDescent="0.25">
      <c r="A18" s="6"/>
      <c r="B18" s="13"/>
      <c r="E18" s="16"/>
      <c r="F18" s="2"/>
    </row>
    <row r="19" spans="1:6" x14ac:dyDescent="0.25">
      <c r="A19" s="6"/>
      <c r="B19" s="13"/>
      <c r="E19" s="16"/>
      <c r="F19" s="2"/>
    </row>
    <row r="20" spans="1:6" x14ac:dyDescent="0.25">
      <c r="A20" s="1" t="s">
        <v>18</v>
      </c>
    </row>
    <row r="21" spans="1:6" x14ac:dyDescent="0.25">
      <c r="A21" s="32" t="s">
        <v>13</v>
      </c>
    </row>
    <row r="24" spans="1:6" x14ac:dyDescent="0.25">
      <c r="A24" s="4"/>
      <c r="B24" s="31" t="s">
        <v>0</v>
      </c>
      <c r="C24" s="31"/>
      <c r="D24" s="31"/>
    </row>
    <row r="25" spans="1:6" ht="47.25" x14ac:dyDescent="0.25">
      <c r="A25" s="5"/>
      <c r="B25" s="18" t="s">
        <v>1</v>
      </c>
      <c r="C25" s="18" t="s">
        <v>2</v>
      </c>
      <c r="D25" s="18" t="s">
        <v>6</v>
      </c>
    </row>
    <row r="26" spans="1:6" x14ac:dyDescent="0.25">
      <c r="A26" s="5" t="s">
        <v>7</v>
      </c>
      <c r="B26" s="19">
        <v>0.8340220857627717</v>
      </c>
      <c r="C26" s="19">
        <v>0.77597955418247311</v>
      </c>
      <c r="D26" s="19">
        <v>0.80843192213854431</v>
      </c>
    </row>
  </sheetData>
  <mergeCells count="1">
    <mergeCell ref="B24:D24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125" zoomScaleNormal="125" workbookViewId="0"/>
  </sheetViews>
  <sheetFormatPr defaultColWidth="9.140625" defaultRowHeight="15.75" x14ac:dyDescent="0.25"/>
  <cols>
    <col min="1" max="1" width="22.42578125" style="2" customWidth="1"/>
    <col min="2" max="2" width="13.42578125" style="16" customWidth="1"/>
    <col min="3" max="16384" width="9.140625" style="2"/>
  </cols>
  <sheetData>
    <row r="1" spans="1:1" x14ac:dyDescent="0.25">
      <c r="A1" s="2" t="s">
        <v>14</v>
      </c>
    </row>
    <row r="4" spans="1:1" ht="15.6" customHeight="1" x14ac:dyDescent="0.25"/>
    <row r="6" spans="1:1" ht="15.6" customHeight="1" x14ac:dyDescent="0.25"/>
    <row r="20" spans="1:2" x14ac:dyDescent="0.25">
      <c r="A20" s="1" t="s">
        <v>15</v>
      </c>
    </row>
    <row r="21" spans="1:2" x14ac:dyDescent="0.25">
      <c r="A21" s="1" t="s">
        <v>18</v>
      </c>
    </row>
    <row r="22" spans="1:2" x14ac:dyDescent="0.25">
      <c r="A22" s="32" t="s">
        <v>13</v>
      </c>
    </row>
    <row r="25" spans="1:2" x14ac:dyDescent="0.25">
      <c r="A25" s="3"/>
      <c r="B25" s="29" t="s">
        <v>11</v>
      </c>
    </row>
    <row r="26" spans="1:2" x14ac:dyDescent="0.25">
      <c r="A26" s="6" t="s">
        <v>6</v>
      </c>
      <c r="B26" s="27">
        <v>-8.4481200000000006E-2</v>
      </c>
    </row>
    <row r="27" spans="1:2" x14ac:dyDescent="0.25">
      <c r="A27" s="6" t="s">
        <v>2</v>
      </c>
      <c r="B27" s="27">
        <v>0.1447437</v>
      </c>
    </row>
    <row r="28" spans="1:2" x14ac:dyDescent="0.25">
      <c r="A28" s="5" t="s">
        <v>1</v>
      </c>
      <c r="B28" s="28">
        <v>-6.0262400000000001E-2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125" zoomScaleNormal="125" workbookViewId="0"/>
  </sheetViews>
  <sheetFormatPr defaultColWidth="9.140625" defaultRowHeight="15.75" x14ac:dyDescent="0.25"/>
  <cols>
    <col min="1" max="1" width="30.140625" style="2" customWidth="1"/>
    <col min="2" max="2" width="12.42578125" style="16" customWidth="1"/>
    <col min="3" max="3" width="10.42578125" style="16" customWidth="1"/>
    <col min="4" max="4" width="10.140625" style="16" customWidth="1"/>
    <col min="5" max="16384" width="9.140625" style="2"/>
  </cols>
  <sheetData>
    <row r="1" spans="1:17" x14ac:dyDescent="0.25">
      <c r="A1" s="2" t="s">
        <v>16</v>
      </c>
    </row>
    <row r="4" spans="1:17" x14ac:dyDescent="0.25">
      <c r="F4" s="11"/>
    </row>
    <row r="6" spans="1:17" ht="15.75" customHeight="1" x14ac:dyDescent="0.25"/>
    <row r="7" spans="1:17" s="6" customFormat="1" ht="15.75" customHeight="1" x14ac:dyDescent="0.25">
      <c r="A7" s="20"/>
      <c r="B7" s="24"/>
      <c r="C7" s="24"/>
      <c r="D7" s="24"/>
    </row>
    <row r="8" spans="1:17" s="6" customFormat="1" x14ac:dyDescent="0.25">
      <c r="A8" s="21"/>
      <c r="B8" s="17"/>
      <c r="C8" s="25"/>
      <c r="D8" s="13"/>
      <c r="Q8" s="22"/>
    </row>
    <row r="9" spans="1:17" s="6" customFormat="1" x14ac:dyDescent="0.25">
      <c r="B9" s="13"/>
      <c r="C9" s="13"/>
      <c r="D9" s="13"/>
    </row>
    <row r="10" spans="1:17" s="6" customFormat="1" x14ac:dyDescent="0.25">
      <c r="B10" s="13"/>
      <c r="C10" s="13"/>
      <c r="D10" s="13"/>
    </row>
    <row r="11" spans="1:17" s="6" customFormat="1" x14ac:dyDescent="0.25">
      <c r="A11" s="23"/>
      <c r="B11" s="13"/>
      <c r="C11" s="13"/>
      <c r="D11" s="13"/>
    </row>
    <row r="12" spans="1:17" s="6" customFormat="1" x14ac:dyDescent="0.25">
      <c r="A12" s="23"/>
      <c r="B12" s="13"/>
      <c r="C12" s="13"/>
      <c r="D12" s="13"/>
    </row>
    <row r="21" spans="1:4" x14ac:dyDescent="0.25">
      <c r="A21" s="1" t="s">
        <v>17</v>
      </c>
    </row>
    <row r="22" spans="1:4" x14ac:dyDescent="0.25">
      <c r="A22" s="1" t="s">
        <v>18</v>
      </c>
    </row>
    <row r="23" spans="1:4" x14ac:dyDescent="0.25">
      <c r="A23" s="32" t="s">
        <v>13</v>
      </c>
    </row>
    <row r="24" spans="1:4" x14ac:dyDescent="0.25">
      <c r="A24" s="32"/>
    </row>
    <row r="26" spans="1:4" ht="47.25" x14ac:dyDescent="0.25">
      <c r="A26" s="26"/>
      <c r="B26" s="18" t="s">
        <v>1</v>
      </c>
      <c r="C26" s="18" t="s">
        <v>2</v>
      </c>
      <c r="D26" s="18" t="s">
        <v>6</v>
      </c>
    </row>
    <row r="27" spans="1:4" x14ac:dyDescent="0.25">
      <c r="A27" s="7" t="s">
        <v>9</v>
      </c>
      <c r="B27" s="27">
        <v>0.52372090000000004</v>
      </c>
      <c r="C27" s="27">
        <v>0.50690000000000002</v>
      </c>
      <c r="D27" s="27">
        <v>0.50279989999999997</v>
      </c>
    </row>
    <row r="28" spans="1:4" x14ac:dyDescent="0.25">
      <c r="A28" s="14" t="s">
        <v>10</v>
      </c>
      <c r="B28" s="28">
        <v>0.67790050000000002</v>
      </c>
      <c r="C28" s="28">
        <v>0.64570000000000005</v>
      </c>
      <c r="D28" s="28">
        <v>0.47206809999999999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125" zoomScaleNormal="125" workbookViewId="0"/>
  </sheetViews>
  <sheetFormatPr defaultColWidth="8.7109375" defaultRowHeight="15.75" x14ac:dyDescent="0.25"/>
  <cols>
    <col min="1" max="1" width="22.42578125" style="2" customWidth="1"/>
    <col min="2" max="2" width="14.42578125" style="16" customWidth="1"/>
    <col min="3" max="16384" width="8.7109375" style="2"/>
  </cols>
  <sheetData>
    <row r="1" spans="1:5" x14ac:dyDescent="0.25">
      <c r="A1" s="2" t="s">
        <v>19</v>
      </c>
    </row>
    <row r="3" spans="1:5" ht="15.75" customHeight="1" x14ac:dyDescent="0.25"/>
    <row r="4" spans="1:5" x14ac:dyDescent="0.25">
      <c r="E4" s="10"/>
    </row>
    <row r="20" spans="1:9" x14ac:dyDescent="0.25">
      <c r="A20" s="1" t="s">
        <v>20</v>
      </c>
    </row>
    <row r="21" spans="1:9" x14ac:dyDescent="0.25">
      <c r="A21" s="1" t="s">
        <v>18</v>
      </c>
    </row>
    <row r="22" spans="1:9" x14ac:dyDescent="0.25">
      <c r="A22" s="32" t="s">
        <v>13</v>
      </c>
    </row>
    <row r="25" spans="1:9" x14ac:dyDescent="0.25">
      <c r="A25" s="3"/>
      <c r="B25" s="15" t="s">
        <v>8</v>
      </c>
    </row>
    <row r="26" spans="1:9" x14ac:dyDescent="0.25">
      <c r="A26" s="6" t="s">
        <v>1</v>
      </c>
      <c r="B26" s="27">
        <v>0.19600000000000001</v>
      </c>
    </row>
    <row r="27" spans="1:9" x14ac:dyDescent="0.25">
      <c r="A27" s="5" t="s">
        <v>2</v>
      </c>
      <c r="B27" s="28">
        <v>0.14399999999999999</v>
      </c>
    </row>
    <row r="28" spans="1:9" x14ac:dyDescent="0.25">
      <c r="I28" s="12"/>
    </row>
    <row r="32" spans="1:9" ht="15.75" customHeight="1" x14ac:dyDescent="0.25"/>
    <row r="36" spans="1:2" x14ac:dyDescent="0.25">
      <c r="A36" s="9"/>
      <c r="B36" s="9"/>
    </row>
    <row r="37" spans="1:2" x14ac:dyDescent="0.25">
      <c r="A37" s="9"/>
      <c r="B37" s="9"/>
    </row>
    <row r="39" spans="1:2" s="1" customFormat="1" ht="12.75" x14ac:dyDescent="0.2">
      <c r="B39" s="30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opLeftCell="A34" workbookViewId="0">
      <selection activeCell="G40" sqref="G40:I41"/>
    </sheetView>
  </sheetViews>
  <sheetFormatPr defaultColWidth="8.85546875" defaultRowHeight="15" x14ac:dyDescent="0.25"/>
  <sheetData>
    <row r="2" spans="1:9" x14ac:dyDescent="0.25">
      <c r="A2" t="str">
        <f>""</f>
        <v/>
      </c>
      <c r="B2" t="str">
        <f>"(1)"</f>
        <v>(1)</v>
      </c>
      <c r="D2" t="str">
        <f>"(2)"</f>
        <v>(2)</v>
      </c>
      <c r="F2" t="str">
        <f>""</f>
        <v/>
      </c>
      <c r="G2" t="str">
        <f>"(1)"</f>
        <v>(1)</v>
      </c>
      <c r="I2" t="str">
        <f>"(2)"</f>
        <v>(2)</v>
      </c>
    </row>
    <row r="3" spans="1:9" x14ac:dyDescent="0.25">
      <c r="A3" t="str">
        <f>""</f>
        <v/>
      </c>
      <c r="B3" t="str">
        <f>"rrsecgap68"</f>
        <v>rrsecgap68</v>
      </c>
      <c r="D3" t="str">
        <f>"change"</f>
        <v>change</v>
      </c>
      <c r="F3" t="str">
        <f>""</f>
        <v/>
      </c>
      <c r="G3" t="str">
        <f>"rrsecgap68"</f>
        <v>rrsecgap68</v>
      </c>
      <c r="I3" t="str">
        <f>"change"</f>
        <v>change</v>
      </c>
    </row>
    <row r="4" spans="1:9" x14ac:dyDescent="0.25">
      <c r="A4" t="str">
        <f>"1.anynontrad"</f>
        <v>1.anynontrad</v>
      </c>
      <c r="B4" t="str">
        <f>"-0.0889"</f>
        <v>-0.0889</v>
      </c>
      <c r="D4" t="str">
        <f>"-0.109"</f>
        <v>-0.109</v>
      </c>
      <c r="F4" t="str">
        <f>"1.anynontrad"</f>
        <v>1.anynontrad</v>
      </c>
      <c r="G4" t="str">
        <f>"-0.114*"</f>
        <v>-0.114*</v>
      </c>
      <c r="I4" t="str">
        <f>"-0.113*"</f>
        <v>-0.113*</v>
      </c>
    </row>
    <row r="5" spans="1:9" x14ac:dyDescent="0.25">
      <c r="A5" t="str">
        <f>""</f>
        <v/>
      </c>
      <c r="B5" t="str">
        <f>"(0.0523)"</f>
        <v>(0.0523)</v>
      </c>
      <c r="D5" t="str">
        <f>"(0.0569)"</f>
        <v>(0.0569)</v>
      </c>
      <c r="F5" t="str">
        <f>""</f>
        <v/>
      </c>
      <c r="G5" t="str">
        <f>"(0.0451)"</f>
        <v>(0.0451)</v>
      </c>
      <c r="I5" t="str">
        <f>"(0.0465)"</f>
        <v>(0.0465)</v>
      </c>
    </row>
    <row r="6" spans="1:9" x14ac:dyDescent="0.25">
      <c r="A6" t="str">
        <f>"1.onlytrad"</f>
        <v>1.onlytrad</v>
      </c>
      <c r="B6" t="str">
        <f>"-0.159*"</f>
        <v>-0.159*</v>
      </c>
      <c r="D6" t="str">
        <f>"-0.186**"</f>
        <v>-0.186**</v>
      </c>
      <c r="F6" t="str">
        <f>"1.onlytrad"</f>
        <v>1.onlytrad</v>
      </c>
      <c r="G6" t="str">
        <f>"-0.146**"</f>
        <v>-0.146**</v>
      </c>
      <c r="I6" t="str">
        <f>"-0.147**"</f>
        <v>-0.147**</v>
      </c>
    </row>
    <row r="7" spans="1:9" x14ac:dyDescent="0.25">
      <c r="A7" t="str">
        <f>""</f>
        <v/>
      </c>
      <c r="B7" t="str">
        <f>"(0.0621)"</f>
        <v>(0.0621)</v>
      </c>
      <c r="D7" t="str">
        <f>"(0.0654)"</f>
        <v>(0.0654)</v>
      </c>
      <c r="F7" t="str">
        <f>""</f>
        <v/>
      </c>
      <c r="G7" t="str">
        <f>"(0.0540)"</f>
        <v>(0.0540)</v>
      </c>
      <c r="I7" t="str">
        <f>"(0.0545)"</f>
        <v>(0.0545)</v>
      </c>
    </row>
    <row r="8" spans="1:9" x14ac:dyDescent="0.25">
      <c r="A8" t="str">
        <f>"rrsecgap"</f>
        <v>rrsecgap</v>
      </c>
      <c r="B8" t="str">
        <f>"0.584***"</f>
        <v>0.584***</v>
      </c>
      <c r="D8" t="str">
        <f>""</f>
        <v/>
      </c>
      <c r="F8" t="str">
        <f>"rrsecgap"</f>
        <v>rrsecgap</v>
      </c>
      <c r="G8" t="str">
        <f>"0.357"</f>
        <v>0.357</v>
      </c>
      <c r="I8" t="str">
        <f>""</f>
        <v/>
      </c>
    </row>
    <row r="9" spans="1:9" x14ac:dyDescent="0.25">
      <c r="A9" t="str">
        <f>""</f>
        <v/>
      </c>
      <c r="B9" t="str">
        <f>"(0.0978)"</f>
        <v>(0.0978)</v>
      </c>
      <c r="D9" t="str">
        <f>""</f>
        <v/>
      </c>
      <c r="F9" t="str">
        <f>""</f>
        <v/>
      </c>
      <c r="G9" t="str">
        <f>"(0.442)"</f>
        <v>(0.442)</v>
      </c>
      <c r="I9" t="str">
        <f>""</f>
        <v/>
      </c>
    </row>
    <row r="10" spans="1:9" x14ac:dyDescent="0.25">
      <c r="A10" t="str">
        <f>"1.male"</f>
        <v>1.male</v>
      </c>
      <c r="B10" t="str">
        <f>"0.00984"</f>
        <v>0.00984</v>
      </c>
      <c r="D10" t="str">
        <f>"-0.00506"</f>
        <v>-0.00506</v>
      </c>
      <c r="F10" t="str">
        <f>"1.male"</f>
        <v>1.male</v>
      </c>
      <c r="G10" t="str">
        <f>"-0.0525"</f>
        <v>-0.0525</v>
      </c>
      <c r="I10" t="str">
        <f>"-0.0609"</f>
        <v>-0.0609</v>
      </c>
    </row>
    <row r="11" spans="1:9" x14ac:dyDescent="0.25">
      <c r="A11" t="str">
        <f>""</f>
        <v/>
      </c>
      <c r="B11" t="str">
        <f>"(0.0480)"</f>
        <v>(0.0480)</v>
      </c>
      <c r="D11" t="str">
        <f>"(0.0491)"</f>
        <v>(0.0491)</v>
      </c>
      <c r="F11" t="str">
        <f>""</f>
        <v/>
      </c>
      <c r="G11" t="str">
        <f>"(0.101)"</f>
        <v>(0.101)</v>
      </c>
      <c r="I11" t="str">
        <f>"(0.0966)"</f>
        <v>(0.0966)</v>
      </c>
    </row>
    <row r="12" spans="1:9" x14ac:dyDescent="0.25">
      <c r="A12" t="str">
        <f>"1.married62"</f>
        <v>1.married62</v>
      </c>
      <c r="B12" t="str">
        <f>"0.00132"</f>
        <v>0.00132</v>
      </c>
      <c r="D12" t="str">
        <f>"0.0225"</f>
        <v>0.0225</v>
      </c>
      <c r="F12" t="str">
        <f>"1.married62"</f>
        <v>1.married62</v>
      </c>
      <c r="G12" t="str">
        <f>"0.0410"</f>
        <v>0.0410</v>
      </c>
      <c r="I12" t="str">
        <f>"0.0522"</f>
        <v>0.0522</v>
      </c>
    </row>
    <row r="13" spans="1:9" x14ac:dyDescent="0.25">
      <c r="A13" t="str">
        <f>""</f>
        <v/>
      </c>
      <c r="B13" t="str">
        <f>"(0.0729)"</f>
        <v>(0.0729)</v>
      </c>
      <c r="D13" t="str">
        <f>"(0.0723)"</f>
        <v>(0.0723)</v>
      </c>
      <c r="F13" t="str">
        <f>""</f>
        <v/>
      </c>
      <c r="G13" t="str">
        <f>"(0.126)"</f>
        <v>(0.126)</v>
      </c>
      <c r="I13" t="str">
        <f>"(0.120)"</f>
        <v>(0.120)</v>
      </c>
    </row>
    <row r="14" spans="1:9" x14ac:dyDescent="0.25">
      <c r="A14" t="str">
        <f>"1.widow62"</f>
        <v>1.widow62</v>
      </c>
      <c r="B14" t="str">
        <f>"-0.134"</f>
        <v>-0.134</v>
      </c>
      <c r="D14" t="str">
        <f>"-0.135"</f>
        <v>-0.135</v>
      </c>
      <c r="F14" t="str">
        <f>"1.widow62"</f>
        <v>1.widow62</v>
      </c>
      <c r="G14" t="str">
        <f>"-0.338"</f>
        <v>-0.338</v>
      </c>
      <c r="I14" t="str">
        <f>"-0.365"</f>
        <v>-0.365</v>
      </c>
    </row>
    <row r="15" spans="1:9" x14ac:dyDescent="0.25">
      <c r="A15" t="str">
        <f>""</f>
        <v/>
      </c>
      <c r="B15" t="str">
        <f>"(0.143)"</f>
        <v>(0.143)</v>
      </c>
      <c r="D15" t="str">
        <f>"(0.152)"</f>
        <v>(0.152)</v>
      </c>
      <c r="F15" t="str">
        <f>""</f>
        <v/>
      </c>
      <c r="G15" t="str">
        <f>"(0.236)"</f>
        <v>(0.236)</v>
      </c>
      <c r="I15" t="str">
        <f>"(0.251)"</f>
        <v>(0.251)</v>
      </c>
    </row>
    <row r="16" spans="1:9" x14ac:dyDescent="0.25">
      <c r="A16" t="str">
        <f>"1.black_nonHisp"</f>
        <v>1.black_nonHisp</v>
      </c>
      <c r="B16" t="str">
        <f>"0.101*"</f>
        <v>0.101*</v>
      </c>
      <c r="D16" t="str">
        <f>"0.0608"</f>
        <v>0.0608</v>
      </c>
      <c r="F16" t="str">
        <f>"1.black_nonHisp"</f>
        <v>1.black_nonHisp</v>
      </c>
      <c r="G16" t="str">
        <f>"0.161"</f>
        <v>0.161</v>
      </c>
      <c r="I16" t="str">
        <f>"0.138"</f>
        <v>0.138</v>
      </c>
    </row>
    <row r="17" spans="1:9" x14ac:dyDescent="0.25">
      <c r="A17" t="str">
        <f>""</f>
        <v/>
      </c>
      <c r="B17" t="str">
        <f>"(0.0467)"</f>
        <v>(0.0467)</v>
      </c>
      <c r="D17" t="str">
        <f>"(0.0495)"</f>
        <v>(0.0495)</v>
      </c>
      <c r="F17" t="str">
        <f>""</f>
        <v/>
      </c>
      <c r="G17" t="str">
        <f>"(0.0864)"</f>
        <v>(0.0864)</v>
      </c>
      <c r="I17" t="str">
        <f>"(0.0853)"</f>
        <v>(0.0853)</v>
      </c>
    </row>
    <row r="18" spans="1:9" x14ac:dyDescent="0.25">
      <c r="A18" t="str">
        <f>"1.hispanic"</f>
        <v>1.hispanic</v>
      </c>
      <c r="B18" t="str">
        <f>"0.0442"</f>
        <v>0.0442</v>
      </c>
      <c r="D18" t="str">
        <f>"0.00608"</f>
        <v>0.00608</v>
      </c>
      <c r="F18" t="str">
        <f>"1.hispanic"</f>
        <v>1.hispanic</v>
      </c>
      <c r="G18" t="str">
        <f>"0.0565"</f>
        <v>0.0565</v>
      </c>
      <c r="I18" t="str">
        <f>"0.0299"</f>
        <v>0.0299</v>
      </c>
    </row>
    <row r="19" spans="1:9" x14ac:dyDescent="0.25">
      <c r="A19" t="str">
        <f>""</f>
        <v/>
      </c>
      <c r="B19" t="str">
        <f>"(0.0485)"</f>
        <v>(0.0485)</v>
      </c>
      <c r="D19" t="str">
        <f>"(0.0520)"</f>
        <v>(0.0520)</v>
      </c>
      <c r="F19" t="str">
        <f>""</f>
        <v/>
      </c>
      <c r="G19" t="str">
        <f>"(0.0602)"</f>
        <v>(0.0602)</v>
      </c>
      <c r="I19" t="str">
        <f>"(0.0615)"</f>
        <v>(0.0615)</v>
      </c>
    </row>
    <row r="20" spans="1:9" x14ac:dyDescent="0.25">
      <c r="A20" t="str">
        <f>"1.other_nonHisp"</f>
        <v>1.other_nonHisp</v>
      </c>
      <c r="B20" t="str">
        <f>"-0.323"</f>
        <v>-0.323</v>
      </c>
      <c r="D20" t="str">
        <f>"-0.324"</f>
        <v>-0.324</v>
      </c>
      <c r="F20" t="str">
        <f>"1.other_nonHisp"</f>
        <v>1.other_nonHisp</v>
      </c>
      <c r="G20" t="str">
        <f>"0.146"</f>
        <v>0.146</v>
      </c>
      <c r="I20" t="str">
        <f>"0.156"</f>
        <v>0.156</v>
      </c>
    </row>
    <row r="21" spans="1:9" x14ac:dyDescent="0.25">
      <c r="A21" t="str">
        <f>""</f>
        <v/>
      </c>
      <c r="B21" t="str">
        <f>"(0.280)"</f>
        <v>(0.280)</v>
      </c>
      <c r="D21" t="str">
        <f>"(0.281)"</f>
        <v>(0.281)</v>
      </c>
      <c r="F21" t="str">
        <f>""</f>
        <v/>
      </c>
      <c r="G21" t="str">
        <f>"(0.0928)"</f>
        <v>(0.0928)</v>
      </c>
      <c r="I21" t="str">
        <f>"(0.0987)"</f>
        <v>(0.0987)</v>
      </c>
    </row>
    <row r="22" spans="1:9" x14ac:dyDescent="0.25">
      <c r="A22" t="str">
        <f>"1.less_than_highSchool"</f>
        <v>1.less_than_highSchool</v>
      </c>
      <c r="B22" t="str">
        <f>"0.221***"</f>
        <v>0.221***</v>
      </c>
      <c r="D22" t="str">
        <f>"0.142*"</f>
        <v>0.142*</v>
      </c>
      <c r="F22" t="str">
        <f>"1.less_than_highSchool"</f>
        <v>1.less_than_highSchool</v>
      </c>
      <c r="G22" t="str">
        <f>"0.0952"</f>
        <v>0.0952</v>
      </c>
      <c r="I22" t="str">
        <f>"0.0677"</f>
        <v>0.0677</v>
      </c>
    </row>
    <row r="23" spans="1:9" x14ac:dyDescent="0.25">
      <c r="A23" t="str">
        <f>""</f>
        <v/>
      </c>
      <c r="B23" t="str">
        <f>"(0.0589)"</f>
        <v>(0.0589)</v>
      </c>
      <c r="D23" t="str">
        <f>"(0.0669)"</f>
        <v>(0.0669)</v>
      </c>
      <c r="F23" t="str">
        <f>""</f>
        <v/>
      </c>
      <c r="G23" t="str">
        <f>"(0.0778)"</f>
        <v>(0.0778)</v>
      </c>
      <c r="I23" t="str">
        <f>"(0.0682)"</f>
        <v>(0.0682)</v>
      </c>
    </row>
    <row r="24" spans="1:9" x14ac:dyDescent="0.25">
      <c r="A24" t="str">
        <f>"1.ged_highSchool"</f>
        <v>1.ged_highSchool</v>
      </c>
      <c r="B24" t="str">
        <f>"0.0916"</f>
        <v>0.0916</v>
      </c>
      <c r="D24" t="str">
        <f>"0.0335"</f>
        <v>0.0335</v>
      </c>
      <c r="F24" t="str">
        <f>"1.ged_highSchool"</f>
        <v>1.ged_highSchool</v>
      </c>
      <c r="G24" t="str">
        <f>"-0.0810"</f>
        <v>-0.0810</v>
      </c>
      <c r="I24" t="str">
        <f>"-0.0845"</f>
        <v>-0.0845</v>
      </c>
    </row>
    <row r="25" spans="1:9" x14ac:dyDescent="0.25">
      <c r="A25" t="str">
        <f>""</f>
        <v/>
      </c>
      <c r="B25" t="str">
        <f>"(0.0643)"</f>
        <v>(0.0643)</v>
      </c>
      <c r="D25" t="str">
        <f>"(0.0705)"</f>
        <v>(0.0705)</v>
      </c>
      <c r="F25" t="str">
        <f>""</f>
        <v/>
      </c>
      <c r="G25" t="str">
        <f>"(0.0883)"</f>
        <v>(0.0883)</v>
      </c>
      <c r="I25" t="str">
        <f>"(0.0868)"</f>
        <v>(0.0868)</v>
      </c>
    </row>
    <row r="26" spans="1:9" x14ac:dyDescent="0.25">
      <c r="A26" t="str">
        <f>"1.some_college"</f>
        <v>1.some_college</v>
      </c>
      <c r="B26" t="str">
        <f>"0.128*"</f>
        <v>0.128*</v>
      </c>
      <c r="D26" t="str">
        <f>"0.0785"</f>
        <v>0.0785</v>
      </c>
      <c r="F26" t="str">
        <f>"1.some_college"</f>
        <v>1.some_college</v>
      </c>
      <c r="G26" t="str">
        <f>"0.0465"</f>
        <v>0.0465</v>
      </c>
      <c r="I26" t="str">
        <f>"0.0239"</f>
        <v>0.0239</v>
      </c>
    </row>
    <row r="27" spans="1:9" x14ac:dyDescent="0.25">
      <c r="A27" t="str">
        <f>""</f>
        <v/>
      </c>
      <c r="B27" t="str">
        <f>"(0.0653)"</f>
        <v>(0.0653)</v>
      </c>
      <c r="D27" t="str">
        <f>"(0.0687)"</f>
        <v>(0.0687)</v>
      </c>
      <c r="F27" t="str">
        <f>""</f>
        <v/>
      </c>
      <c r="G27" t="str">
        <f>"(0.0629)"</f>
        <v>(0.0629)</v>
      </c>
      <c r="I27" t="str">
        <f>"(0.0588)"</f>
        <v>(0.0588)</v>
      </c>
    </row>
    <row r="30" spans="1:9" x14ac:dyDescent="0.25">
      <c r="A30" t="str">
        <f>"1.poorhealth62"</f>
        <v>1.poorhealth62</v>
      </c>
      <c r="B30" t="str">
        <f>"-0.0610"</f>
        <v>-0.0610</v>
      </c>
      <c r="D30" t="str">
        <f>"-0.137"</f>
        <v>-0.137</v>
      </c>
      <c r="F30" t="str">
        <f>"1.poorhealth62"</f>
        <v>1.poorhealth62</v>
      </c>
      <c r="G30" t="str">
        <f>"-0.0820"</f>
        <v>-0.0820</v>
      </c>
      <c r="I30" t="str">
        <f>"-0.124"</f>
        <v>-0.124</v>
      </c>
    </row>
    <row r="31" spans="1:9" x14ac:dyDescent="0.25">
      <c r="A31" t="str">
        <f>""</f>
        <v/>
      </c>
      <c r="B31" t="str">
        <f>"(0.0676)"</f>
        <v>(0.0676)</v>
      </c>
      <c r="D31" t="str">
        <f>"(0.0818)"</f>
        <v>(0.0818)</v>
      </c>
      <c r="F31" t="str">
        <f>""</f>
        <v/>
      </c>
      <c r="G31" t="str">
        <f>"(0.0853)"</f>
        <v>(0.0853)</v>
      </c>
      <c r="I31" t="str">
        <f>"(0.0751)"</f>
        <v>(0.0751)</v>
      </c>
    </row>
    <row r="32" spans="1:9" x14ac:dyDescent="0.25">
      <c r="A32" t="str">
        <f>"1.selfemp62"</f>
        <v>1.selfemp62</v>
      </c>
      <c r="B32" t="str">
        <f>"0.115"</f>
        <v>0.115</v>
      </c>
      <c r="D32" t="str">
        <f>"0.138"</f>
        <v>0.138</v>
      </c>
      <c r="F32" t="str">
        <f>"1.selfemp62"</f>
        <v>1.selfemp62</v>
      </c>
      <c r="G32" t="str">
        <f>"-0.0823"</f>
        <v>-0.0823</v>
      </c>
      <c r="I32" t="str">
        <f>"-0.148"</f>
        <v>-0.148</v>
      </c>
    </row>
    <row r="33" spans="1:9" x14ac:dyDescent="0.25">
      <c r="A33" t="str">
        <f>""</f>
        <v/>
      </c>
      <c r="B33" t="str">
        <f>"(0.0782)"</f>
        <v>(0.0782)</v>
      </c>
      <c r="D33" t="str">
        <f>"(0.0839)"</f>
        <v>(0.0839)</v>
      </c>
      <c r="F33" t="str">
        <f>""</f>
        <v/>
      </c>
      <c r="G33" t="str">
        <f>"(0.125)"</f>
        <v>(0.125)</v>
      </c>
      <c r="I33" t="str">
        <f>"(0.126)"</f>
        <v>(0.126)</v>
      </c>
    </row>
    <row r="34" spans="1:9" x14ac:dyDescent="0.25">
      <c r="A34" t="str">
        <f>"hhsanspe"</f>
        <v>hhsanspe</v>
      </c>
      <c r="B34" t="str">
        <f>"-0.000000169"</f>
        <v>-0.000000169</v>
      </c>
      <c r="D34" t="str">
        <f>"9.06e-08"</f>
        <v>9.06e-08</v>
      </c>
      <c r="F34" t="str">
        <f>"hhsanspe"</f>
        <v>hhsanspe</v>
      </c>
      <c r="G34" t="str">
        <f>"-0.000000802"</f>
        <v>-0.000000802</v>
      </c>
      <c r="I34" t="str">
        <f>"-0.000000205"</f>
        <v>-0.000000205</v>
      </c>
    </row>
    <row r="35" spans="1:9" x14ac:dyDescent="0.25">
      <c r="A35" t="str">
        <f>""</f>
        <v/>
      </c>
      <c r="B35" t="str">
        <f>"(0.000000301)"</f>
        <v>(0.000000301)</v>
      </c>
      <c r="D35" t="str">
        <f>"(0.000000297)"</f>
        <v>(0.000000297)</v>
      </c>
      <c r="F35" t="str">
        <f>""</f>
        <v/>
      </c>
      <c r="G35" t="str">
        <f>"(0.000000821)"</f>
        <v>(0.000000821)</v>
      </c>
      <c r="I35" t="str">
        <f>"(0.000000905)"</f>
        <v>(0.000000905)</v>
      </c>
    </row>
    <row r="37" spans="1:9" x14ac:dyDescent="0.25">
      <c r="A37" t="str">
        <f>"_cons"</f>
        <v>_cons</v>
      </c>
      <c r="B37" t="str">
        <f>"-0.0204"</f>
        <v>-0.0204</v>
      </c>
      <c r="D37" t="str">
        <f>"0.0475"</f>
        <v>0.0475</v>
      </c>
      <c r="F37" t="str">
        <f>"_cons"</f>
        <v>_cons</v>
      </c>
      <c r="G37" t="str">
        <f>"0.174"</f>
        <v>0.174</v>
      </c>
      <c r="I37" t="str">
        <f>"0.0352"</f>
        <v>0.0352</v>
      </c>
    </row>
    <row r="38" spans="1:9" x14ac:dyDescent="0.25">
      <c r="A38" t="str">
        <f>""</f>
        <v/>
      </c>
      <c r="B38" t="str">
        <f>"(0.0920)"</f>
        <v>(0.0920)</v>
      </c>
      <c r="D38" t="str">
        <f>"(0.101)"</f>
        <v>(0.101)</v>
      </c>
      <c r="F38" t="str">
        <f>""</f>
        <v/>
      </c>
      <c r="G38" t="str">
        <f>"(0.115)"</f>
        <v>(0.115)</v>
      </c>
      <c r="I38" t="str">
        <f>"(0.0642)"</f>
        <v>(0.0642)</v>
      </c>
    </row>
    <row r="40" spans="1:9" x14ac:dyDescent="0.25">
      <c r="A40" t="str">
        <f>"N"</f>
        <v>N</v>
      </c>
      <c r="B40" t="str">
        <f>"872"</f>
        <v>872</v>
      </c>
      <c r="D40" t="str">
        <f>"872"</f>
        <v>872</v>
      </c>
      <c r="F40" t="str">
        <f>"N"</f>
        <v>N</v>
      </c>
      <c r="G40" t="str">
        <f>"316"</f>
        <v>316</v>
      </c>
      <c r="I40" t="str">
        <f>"316"</f>
        <v>316</v>
      </c>
    </row>
    <row r="41" spans="1:9" x14ac:dyDescent="0.25">
      <c r="A41" t="str">
        <f>"adj. R-sq"</f>
        <v>adj. R-sq</v>
      </c>
      <c r="B41" t="str">
        <f>"0.119"</f>
        <v>0.119</v>
      </c>
      <c r="D41" t="str">
        <f>"0.018"</f>
        <v>0.018</v>
      </c>
      <c r="F41" t="str">
        <f>"adj. R-sq"</f>
        <v>adj. R-sq</v>
      </c>
      <c r="G41" t="str">
        <f>"0.046"</f>
        <v>0.046</v>
      </c>
      <c r="I41" t="str">
        <f>"0.041"</f>
        <v>0.041</v>
      </c>
    </row>
    <row r="43" spans="1:9" x14ac:dyDescent="0.25">
      <c r="A43" t="str">
        <f>"Standard errors in parentheses"</f>
        <v>Standard errors in parentheses</v>
      </c>
      <c r="F43" t="str">
        <f>"Standard errors in parentheses"</f>
        <v>Standard errors in parentheses</v>
      </c>
    </row>
    <row r="44" spans="1:9" x14ac:dyDescent="0.25">
      <c r="A44" t="s">
        <v>3</v>
      </c>
      <c r="B44" t="s">
        <v>4</v>
      </c>
      <c r="D44" t="s">
        <v>5</v>
      </c>
      <c r="F44" t="s">
        <v>3</v>
      </c>
      <c r="G44" t="s">
        <v>4</v>
      </c>
      <c r="I4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Sheet4</vt:lpstr>
    </vt:vector>
  </TitlesOfParts>
  <Company>ISR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2020-04-02T19:02:03Z</dcterms:created>
  <dcterms:modified xsi:type="dcterms:W3CDTF">2020-10-01T13:41:35Z</dcterms:modified>
</cp:coreProperties>
</file>