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40" yWindow="105" windowWidth="14775" windowHeight="13020" firstSheet="1" activeTab="1"/>
  </bookViews>
  <sheets>
    <sheet name="Sheet1" sheetId="1" state="hidden" r:id="rId1"/>
    <sheet name="Figure 1" sheetId="3" r:id="rId2"/>
    <sheet name="Figure 2" sheetId="7" r:id="rId3"/>
    <sheet name="Figure 3" sheetId="8" r:id="rId4"/>
    <sheet name="Figure 4" sheetId="9" r:id="rId5"/>
    <sheet name="Figure 5" sheetId="6" r:id="rId6"/>
  </sheets>
  <externalReferences>
    <externalReference r:id="rId7"/>
    <externalReference r:id="rId8"/>
  </externalReferences>
  <calcPr calcId="145621"/>
</workbook>
</file>

<file path=xl/calcChain.xml><?xml version="1.0" encoding="utf-8"?>
<calcChain xmlns="http://schemas.openxmlformats.org/spreadsheetml/2006/main">
  <c r="L6" i="9" l="1"/>
  <c r="M6" i="9"/>
  <c r="N6" i="9"/>
  <c r="L7" i="9"/>
  <c r="M7" i="9"/>
  <c r="N7" i="9"/>
  <c r="L8" i="9"/>
  <c r="M8" i="9"/>
  <c r="N8" i="9"/>
  <c r="L9" i="9"/>
  <c r="M9" i="9"/>
  <c r="N9" i="9"/>
  <c r="L10" i="9"/>
  <c r="M10" i="9"/>
  <c r="N10" i="9"/>
  <c r="L11" i="9"/>
  <c r="M11" i="9"/>
  <c r="N11" i="9"/>
  <c r="L12" i="9"/>
  <c r="M12" i="9"/>
  <c r="N12" i="9"/>
  <c r="L13" i="9"/>
  <c r="M13" i="9"/>
  <c r="N13" i="9"/>
  <c r="L14" i="9"/>
  <c r="M14" i="9"/>
  <c r="N14" i="9"/>
  <c r="L15" i="9"/>
  <c r="M15" i="9"/>
  <c r="N15" i="9"/>
  <c r="L16" i="9"/>
  <c r="M16" i="9"/>
  <c r="N16" i="9"/>
  <c r="L17" i="9"/>
  <c r="M17" i="9"/>
  <c r="N17" i="9"/>
  <c r="L18" i="9"/>
  <c r="M18" i="9"/>
  <c r="N18" i="9"/>
  <c r="L19" i="9"/>
  <c r="M19" i="9"/>
  <c r="N19" i="9"/>
  <c r="L20" i="9"/>
  <c r="M20" i="9"/>
  <c r="N20" i="9"/>
  <c r="L21" i="9"/>
  <c r="M21" i="9"/>
  <c r="N21" i="9"/>
  <c r="L22" i="9"/>
  <c r="M22" i="9"/>
  <c r="N22" i="9"/>
  <c r="L23" i="9"/>
  <c r="M23" i="9"/>
  <c r="N23" i="9"/>
  <c r="L24" i="9"/>
  <c r="M24" i="9"/>
  <c r="N24" i="9"/>
  <c r="L25" i="9"/>
  <c r="M25" i="9"/>
  <c r="N25" i="9"/>
  <c r="L26" i="9"/>
  <c r="M26" i="9"/>
  <c r="N26" i="9"/>
  <c r="L27" i="9"/>
  <c r="M27" i="9"/>
  <c r="N27" i="9"/>
  <c r="L28" i="9"/>
  <c r="M28" i="9"/>
  <c r="N28" i="9"/>
  <c r="L29" i="9"/>
  <c r="M29" i="9"/>
  <c r="N29" i="9"/>
  <c r="L30" i="9"/>
  <c r="M30" i="9"/>
  <c r="N30" i="9"/>
  <c r="L31" i="9"/>
  <c r="M31" i="9"/>
  <c r="N31" i="9"/>
  <c r="L32" i="9"/>
  <c r="M32" i="9"/>
  <c r="N32" i="9"/>
  <c r="L33" i="9"/>
  <c r="M33" i="9"/>
  <c r="N33" i="9"/>
  <c r="L34" i="9"/>
  <c r="M34" i="9"/>
  <c r="N34" i="9"/>
  <c r="L35" i="9"/>
  <c r="M35" i="9"/>
  <c r="N35" i="9"/>
  <c r="M5" i="9"/>
  <c r="N5" i="9"/>
  <c r="L5" i="9"/>
  <c r="P53" i="6"/>
  <c r="O53" i="6"/>
  <c r="P52" i="6"/>
  <c r="O52" i="6"/>
  <c r="N52" i="6"/>
  <c r="N51" i="6" s="1"/>
  <c r="N50" i="6" s="1"/>
  <c r="N49" i="6" s="1"/>
  <c r="N48" i="6" s="1"/>
  <c r="N47" i="6" s="1"/>
  <c r="N46" i="6" s="1"/>
  <c r="N45" i="6" s="1"/>
  <c r="N44" i="6" s="1"/>
  <c r="N43" i="6" s="1"/>
  <c r="N42" i="6" s="1"/>
  <c r="N41" i="6" s="1"/>
  <c r="N40" i="6" s="1"/>
  <c r="N39" i="6" s="1"/>
  <c r="N38" i="6" s="1"/>
  <c r="N37" i="6" s="1"/>
  <c r="N36" i="6" s="1"/>
  <c r="N35" i="6" s="1"/>
  <c r="N34" i="6" s="1"/>
  <c r="N33" i="6" s="1"/>
  <c r="N32" i="6" s="1"/>
  <c r="N31" i="6" s="1"/>
  <c r="N30" i="6" s="1"/>
  <c r="N29" i="6" s="1"/>
  <c r="N28" i="6" s="1"/>
  <c r="N27" i="6" s="1"/>
  <c r="N26" i="6" s="1"/>
  <c r="N25" i="6" s="1"/>
  <c r="N24" i="6" s="1"/>
  <c r="N23" i="6" s="1"/>
  <c r="N22" i="6" s="1"/>
  <c r="N21" i="6" s="1"/>
  <c r="N20" i="6" s="1"/>
  <c r="N19" i="6" s="1"/>
  <c r="N18" i="6" s="1"/>
  <c r="N17" i="6" s="1"/>
  <c r="N16" i="6" s="1"/>
  <c r="N15" i="6" s="1"/>
  <c r="N14" i="6" s="1"/>
  <c r="N13" i="6" s="1"/>
  <c r="N12" i="6" s="1"/>
  <c r="N11" i="6" s="1"/>
  <c r="N10" i="6" s="1"/>
  <c r="N9" i="6" s="1"/>
  <c r="N8" i="6" s="1"/>
  <c r="N7" i="6" s="1"/>
  <c r="N6" i="6" s="1"/>
  <c r="N5" i="6" s="1"/>
  <c r="N4" i="6" s="1"/>
  <c r="N3" i="6" s="1"/>
  <c r="N2" i="6" s="1"/>
  <c r="P51" i="6"/>
  <c r="O51" i="6"/>
  <c r="P50" i="6"/>
  <c r="O50" i="6"/>
  <c r="P49" i="6"/>
  <c r="O49" i="6"/>
  <c r="P48" i="6"/>
  <c r="O48" i="6"/>
  <c r="P47" i="6"/>
  <c r="O47" i="6"/>
  <c r="P46" i="6"/>
  <c r="O46" i="6"/>
  <c r="P45" i="6"/>
  <c r="O45" i="6"/>
  <c r="P44" i="6"/>
  <c r="O44" i="6"/>
  <c r="P43" i="6"/>
  <c r="O43" i="6"/>
  <c r="P42" i="6"/>
  <c r="O42" i="6"/>
  <c r="P41" i="6"/>
  <c r="O41" i="6"/>
  <c r="P40" i="6"/>
  <c r="O40" i="6"/>
  <c r="P39" i="6"/>
  <c r="O39" i="6"/>
  <c r="P38" i="6"/>
  <c r="O38" i="6"/>
  <c r="P37" i="6"/>
  <c r="O37" i="6"/>
  <c r="P36" i="6"/>
  <c r="O36" i="6"/>
  <c r="P35" i="6"/>
  <c r="O35" i="6"/>
  <c r="P34" i="6"/>
  <c r="O34" i="6"/>
  <c r="P33" i="6"/>
  <c r="O33" i="6"/>
  <c r="P32" i="6"/>
  <c r="O32" i="6"/>
  <c r="P31" i="6"/>
  <c r="O31" i="6"/>
  <c r="P30" i="6"/>
  <c r="O30" i="6"/>
  <c r="P29" i="6"/>
  <c r="O29" i="6"/>
  <c r="P28" i="6"/>
  <c r="O28" i="6"/>
  <c r="P27" i="6"/>
  <c r="O27" i="6"/>
  <c r="P26" i="6"/>
  <c r="O26" i="6"/>
  <c r="P25" i="6"/>
  <c r="O25" i="6"/>
  <c r="P24" i="6"/>
  <c r="O24" i="6"/>
  <c r="P23" i="6"/>
  <c r="O23" i="6"/>
  <c r="P22" i="6"/>
  <c r="O22" i="6"/>
  <c r="P21" i="6"/>
  <c r="O21" i="6"/>
  <c r="P20" i="6"/>
  <c r="O20" i="6"/>
  <c r="P19" i="6"/>
  <c r="O19" i="6"/>
  <c r="P18" i="6"/>
  <c r="O18" i="6"/>
  <c r="P17" i="6"/>
  <c r="O17" i="6"/>
  <c r="P16" i="6"/>
  <c r="O16" i="6"/>
  <c r="P15" i="6"/>
  <c r="O15" i="6"/>
  <c r="P14" i="6"/>
  <c r="O14" i="6"/>
  <c r="P13" i="6"/>
  <c r="O13" i="6"/>
  <c r="P12" i="6"/>
  <c r="O12" i="6"/>
  <c r="P11" i="6"/>
  <c r="O11" i="6"/>
  <c r="P10" i="6"/>
  <c r="O10" i="6"/>
  <c r="P9" i="6"/>
  <c r="O9" i="6"/>
  <c r="P8" i="6"/>
  <c r="O8" i="6"/>
  <c r="P7" i="6"/>
  <c r="O7" i="6"/>
  <c r="P6" i="6"/>
  <c r="O6" i="6"/>
  <c r="P5" i="6"/>
  <c r="O5" i="6"/>
  <c r="P4" i="6"/>
  <c r="O4" i="6"/>
  <c r="P3" i="6"/>
  <c r="O3" i="6"/>
  <c r="P2" i="6"/>
  <c r="O2" i="6"/>
  <c r="A12" i="3" l="1"/>
  <c r="A13" i="3" s="1"/>
  <c r="A14" i="3" s="1"/>
  <c r="A15" i="3" s="1"/>
  <c r="I19" i="1"/>
  <c r="I21" i="1" s="1"/>
  <c r="I23" i="1" s="1"/>
  <c r="I25" i="1" s="1"/>
  <c r="I27" i="1" s="1"/>
  <c r="I29" i="1" s="1"/>
  <c r="I31" i="1" s="1"/>
  <c r="I33" i="1" s="1"/>
  <c r="I35" i="1" s="1"/>
  <c r="I37" i="1" s="1"/>
  <c r="I39" i="1" s="1"/>
  <c r="I41" i="1" s="1"/>
  <c r="I43" i="1" s="1"/>
  <c r="I45" i="1" s="1"/>
  <c r="I47" i="1" s="1"/>
  <c r="I49" i="1" s="1"/>
  <c r="J9" i="1"/>
  <c r="K9" i="1"/>
  <c r="L9" i="1"/>
  <c r="M9" i="1"/>
  <c r="J11" i="1"/>
  <c r="K11" i="1"/>
  <c r="L11" i="1"/>
  <c r="M11" i="1"/>
  <c r="J13" i="1"/>
  <c r="K13" i="1"/>
  <c r="L13" i="1"/>
  <c r="M13" i="1"/>
  <c r="J15" i="1"/>
  <c r="K15" i="1"/>
  <c r="L15" i="1"/>
  <c r="M15" i="1"/>
  <c r="J17" i="1"/>
  <c r="K17" i="1"/>
  <c r="L17" i="1"/>
  <c r="M17" i="1"/>
  <c r="J19" i="1"/>
  <c r="K19" i="1"/>
  <c r="L19" i="1"/>
  <c r="M19" i="1"/>
  <c r="J21" i="1"/>
  <c r="K21" i="1"/>
  <c r="L21" i="1"/>
  <c r="M21" i="1"/>
  <c r="J23" i="1"/>
  <c r="K23" i="1"/>
  <c r="L23" i="1"/>
  <c r="M23" i="1"/>
  <c r="J25" i="1"/>
  <c r="K25" i="1"/>
  <c r="L25" i="1"/>
  <c r="M25" i="1"/>
  <c r="J27" i="1"/>
  <c r="K27" i="1"/>
  <c r="L27" i="1"/>
  <c r="M27" i="1"/>
  <c r="J29" i="1"/>
  <c r="K29" i="1"/>
  <c r="L29" i="1"/>
  <c r="M29" i="1"/>
  <c r="J31" i="1"/>
  <c r="K31" i="1"/>
  <c r="L31" i="1"/>
  <c r="M31" i="1"/>
  <c r="J33" i="1"/>
  <c r="K33" i="1"/>
  <c r="L33" i="1"/>
  <c r="M33" i="1"/>
  <c r="J35" i="1"/>
  <c r="K35" i="1"/>
  <c r="L35" i="1"/>
  <c r="M35" i="1"/>
  <c r="J37" i="1"/>
  <c r="K37" i="1"/>
  <c r="L37" i="1"/>
  <c r="M37" i="1"/>
  <c r="J39" i="1"/>
  <c r="K39" i="1"/>
  <c r="L39" i="1"/>
  <c r="M39" i="1"/>
  <c r="J41" i="1"/>
  <c r="K41" i="1"/>
  <c r="L41" i="1"/>
  <c r="M41" i="1"/>
  <c r="J43" i="1"/>
  <c r="K43" i="1"/>
  <c r="L43" i="1"/>
  <c r="M43" i="1"/>
  <c r="J45" i="1"/>
  <c r="K45" i="1"/>
  <c r="L45" i="1"/>
  <c r="M45" i="1"/>
  <c r="J47" i="1"/>
  <c r="K47" i="1"/>
  <c r="L47" i="1"/>
  <c r="M47" i="1"/>
  <c r="J49" i="1"/>
  <c r="K49" i="1"/>
  <c r="L49" i="1"/>
  <c r="M49" i="1"/>
  <c r="K7" i="1"/>
  <c r="L7" i="1"/>
  <c r="J7" i="1"/>
  <c r="M7" i="1"/>
</calcChain>
</file>

<file path=xl/sharedStrings.xml><?xml version="1.0" encoding="utf-8"?>
<sst xmlns="http://schemas.openxmlformats.org/spreadsheetml/2006/main" count="66" uniqueCount="55">
  <si>
    <t>Frequency Distribution</t>
  </si>
  <si>
    <t>Cells contain:</t>
  </si>
  <si>
    <r>
      <t>-</t>
    </r>
    <r>
      <rPr>
        <b/>
        <sz val="11"/>
        <color theme="1"/>
        <rFont val="Arial"/>
        <family val="2"/>
      </rPr>
      <t>Column percent</t>
    </r>
  </si>
  <si>
    <t>-Weighted N</t>
  </si>
  <si>
    <t>empstat</t>
  </si>
  <si>
    <t>N/A</t>
  </si>
  <si>
    <t>Employed</t>
  </si>
  <si>
    <t>Unemployed</t>
  </si>
  <si>
    <t>Not in labor force</t>
  </si>
  <si>
    <t>ROW</t>
  </si>
  <si>
    <t>TOTAL</t>
  </si>
  <si>
    <t>year</t>
  </si>
  <si>
    <t>1910: 1910</t>
  </si>
  <si>
    <t>1930: 1930</t>
  </si>
  <si>
    <t>1940: 1940</t>
  </si>
  <si>
    <t>1950: 1950</t>
  </si>
  <si>
    <t>1960: 1960</t>
  </si>
  <si>
    <t>1970: 1970</t>
  </si>
  <si>
    <t>1980: 1980</t>
  </si>
  <si>
    <t>1990: 1990</t>
  </si>
  <si>
    <t>2000: 2000</t>
  </si>
  <si>
    <t>2001: 2001</t>
  </si>
  <si>
    <t>2002: 2002</t>
  </si>
  <si>
    <t>2003: 2003</t>
  </si>
  <si>
    <t>2004: 2004</t>
  </si>
  <si>
    <t>2005: 2005</t>
  </si>
  <si>
    <t>2006: 2006</t>
  </si>
  <si>
    <t>2007: 2007</t>
  </si>
  <si>
    <t>2008: 2008</t>
  </si>
  <si>
    <t>2009: 2009</t>
  </si>
  <si>
    <t>2010: 2010</t>
  </si>
  <si>
    <t>2011: 2011</t>
  </si>
  <si>
    <t>2012: 2012</t>
  </si>
  <si>
    <t>2013: 2013</t>
  </si>
  <si>
    <t>COL TOTAL</t>
  </si>
  <si>
    <t>65+</t>
  </si>
  <si>
    <t>55-64</t>
  </si>
  <si>
    <t xml:space="preserve">Note: Work Rates during 1910 - 1930 are any reported gainful occupation. </t>
  </si>
  <si>
    <t>Age</t>
  </si>
  <si>
    <t>Figure X: Workforce Participation Rates of Men Ages 55-64 and 65 and Over, 1880 - 2013</t>
  </si>
  <si>
    <t>p-weights</t>
  </si>
  <si>
    <t>Year</t>
  </si>
  <si>
    <t>Men</t>
  </si>
  <si>
    <t>Women</t>
  </si>
  <si>
    <r>
      <t xml:space="preserve">Figure 5. </t>
    </r>
    <r>
      <rPr>
        <i/>
        <sz val="12"/>
        <color indexed="8"/>
        <rFont val="Times New Roman"/>
        <family val="1"/>
      </rPr>
      <t>Average Retirement Age, 1962-2013</t>
    </r>
  </si>
  <si>
    <t>Source: Author’s calculations from CPS (1962-2013).</t>
  </si>
  <si>
    <t>* When using these data, please cite the Center for Retirement Research at Boston College.</t>
  </si>
  <si>
    <t>Source: Ruggles et al. (2010), with data through 2013</t>
  </si>
  <si>
    <t>Notes: Work rates during 1880-1930 are any reported gainful occupation; work rates during 1940-2013 are labor force participation rates – working or seeking work.</t>
  </si>
  <si>
    <t>Figure 2. Labor Force Participation Rates of Men Ages 50-80</t>
  </si>
  <si>
    <t>Source: Author’s calculations from U.S. Census Bureau, Current Population Survey (CPS) (1963, 1983, 1993, 2013).</t>
  </si>
  <si>
    <t>Figure 3. Labor Force Participation Rates of Women Ages 50-80</t>
  </si>
  <si>
    <t>Source: Author’s calculations from CPS (1963, 1983, 1993, 2013).</t>
  </si>
  <si>
    <t>Figure 4. Labor Force Participation Rates of Men and Women Ages 50-80, 2013</t>
  </si>
  <si>
    <t>Source: Author’s calculations from CPS (2013).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</si>
</sst>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3BED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66"/>
        <bgColor indexed="64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11" fillId="0" borderId="0"/>
  </cellStyleXfs>
  <cellXfs count="49">
    <xf numFmtId="0" fontId="0" fillId="0" borderId="0" xfId="0"/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right" vertical="center" wrapText="1"/>
    </xf>
    <xf numFmtId="0" fontId="2" fillId="4" borderId="13" xfId="0" applyFont="1" applyFill="1" applyBorder="1" applyAlignment="1">
      <alignment horizontal="right" vertical="center" wrapText="1"/>
    </xf>
    <xf numFmtId="4" fontId="2" fillId="4" borderId="13" xfId="0" applyNumberFormat="1" applyFont="1" applyFill="1" applyBorder="1" applyAlignment="1">
      <alignment horizontal="right" vertical="center" wrapText="1"/>
    </xf>
    <xf numFmtId="0" fontId="1" fillId="5" borderId="12" xfId="0" applyFont="1" applyFill="1" applyBorder="1" applyAlignment="1">
      <alignment horizontal="right" vertical="center" wrapText="1"/>
    </xf>
    <xf numFmtId="4" fontId="2" fillId="5" borderId="13" xfId="0" applyNumberFormat="1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4" fontId="4" fillId="2" borderId="13" xfId="0" applyNumberFormat="1" applyFont="1" applyFill="1" applyBorder="1" applyAlignment="1">
      <alignment horizontal="right" vertical="center" wrapText="1"/>
    </xf>
    <xf numFmtId="0" fontId="1" fillId="6" borderId="12" xfId="0" applyFont="1" applyFill="1" applyBorder="1" applyAlignment="1">
      <alignment horizontal="right" vertical="center" wrapText="1"/>
    </xf>
    <xf numFmtId="4" fontId="2" fillId="6" borderId="13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5" fillId="0" borderId="0" xfId="0" applyFont="1"/>
    <xf numFmtId="4" fontId="5" fillId="0" borderId="0" xfId="0" applyNumberFormat="1" applyFont="1"/>
    <xf numFmtId="164" fontId="5" fillId="0" borderId="0" xfId="0" applyNumberFormat="1" applyFont="1"/>
    <xf numFmtId="164" fontId="5" fillId="0" borderId="0" xfId="0" applyNumberFormat="1" applyFont="1" applyFill="1"/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0" fontId="10" fillId="0" borderId="0" xfId="0" applyFont="1"/>
    <xf numFmtId="1" fontId="5" fillId="0" borderId="0" xfId="0" applyNumberFormat="1" applyFont="1"/>
    <xf numFmtId="9" fontId="5" fillId="0" borderId="0" xfId="1" applyFont="1"/>
    <xf numFmtId="9" fontId="5" fillId="0" borderId="0" xfId="0" applyNumberFormat="1" applyFont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71071274804599E-2"/>
          <c:y val="4.8219412312874597E-2"/>
          <c:w val="0.89546825232716698"/>
          <c:h val="0.842978617900775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1'!$B$1</c:f>
              <c:strCache>
                <c:ptCount val="1"/>
                <c:pt idx="0">
                  <c:v>55-64</c:v>
                </c:pt>
              </c:strCache>
            </c:strRef>
          </c:tx>
          <c:spPr>
            <a:ln w="19050">
              <a:solidFill>
                <a:srgbClr val="800000"/>
              </a:solidFill>
            </a:ln>
          </c:spPr>
          <c:marker>
            <c:symbol val="none"/>
          </c:marker>
          <c:xVal>
            <c:numRef>
              <c:f>'Figure 1'!$A$3:$A$16</c:f>
              <c:numCache>
                <c:formatCode>General</c:formatCode>
                <c:ptCount val="14"/>
                <c:pt idx="0">
                  <c:v>1880</c:v>
                </c:pt>
                <c:pt idx="1">
                  <c:v>1900</c:v>
                </c:pt>
                <c:pt idx="2">
                  <c:v>1910</c:v>
                </c:pt>
                <c:pt idx="3">
                  <c:v>1920</c:v>
                </c:pt>
                <c:pt idx="4">
                  <c:v>1930</c:v>
                </c:pt>
                <c:pt idx="5">
                  <c:v>1940</c:v>
                </c:pt>
                <c:pt idx="6">
                  <c:v>1950</c:v>
                </c:pt>
                <c:pt idx="7">
                  <c:v>1960</c:v>
                </c:pt>
                <c:pt idx="8">
                  <c:v>1970</c:v>
                </c:pt>
                <c:pt idx="9">
                  <c:v>1980</c:v>
                </c:pt>
                <c:pt idx="10">
                  <c:v>1990</c:v>
                </c:pt>
                <c:pt idx="11">
                  <c:v>2000</c:v>
                </c:pt>
                <c:pt idx="12">
                  <c:v>2010</c:v>
                </c:pt>
                <c:pt idx="13">
                  <c:v>2013</c:v>
                </c:pt>
              </c:numCache>
            </c:numRef>
          </c:xVal>
          <c:yVal>
            <c:numRef>
              <c:f>'Figure 1'!$B$3:$B$16</c:f>
              <c:numCache>
                <c:formatCode>0.0000</c:formatCode>
                <c:ptCount val="14"/>
                <c:pt idx="0">
                  <c:v>0.93596822472744601</c:v>
                </c:pt>
                <c:pt idx="1">
                  <c:v>0.90374226182500006</c:v>
                </c:pt>
                <c:pt idx="2">
                  <c:v>0.89806337128272906</c:v>
                </c:pt>
                <c:pt idx="3">
                  <c:v>0.89409962546734312</c:v>
                </c:pt>
                <c:pt idx="4">
                  <c:v>0.89753663639919445</c:v>
                </c:pt>
                <c:pt idx="5">
                  <c:v>0.84624818757133424</c:v>
                </c:pt>
                <c:pt idx="6">
                  <c:v>0.83847669316673923</c:v>
                </c:pt>
                <c:pt idx="7">
                  <c:v>0.83144641651686702</c:v>
                </c:pt>
                <c:pt idx="8">
                  <c:v>0.80533789838920933</c:v>
                </c:pt>
                <c:pt idx="9">
                  <c:v>0.7124496809032892</c:v>
                </c:pt>
                <c:pt idx="10">
                  <c:v>0.6684749498995981</c:v>
                </c:pt>
                <c:pt idx="11">
                  <c:v>0.65661702792370424</c:v>
                </c:pt>
                <c:pt idx="12">
                  <c:v>0.69317469044371993</c:v>
                </c:pt>
                <c:pt idx="13">
                  <c:v>0.69320247428533532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'Figure 1'!$C$1</c:f>
              <c:strCache>
                <c:ptCount val="1"/>
                <c:pt idx="0">
                  <c:v>65+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xVal>
            <c:numRef>
              <c:f>'Figure 1'!$A$3:$A$16</c:f>
              <c:numCache>
                <c:formatCode>General</c:formatCode>
                <c:ptCount val="14"/>
                <c:pt idx="0">
                  <c:v>1880</c:v>
                </c:pt>
                <c:pt idx="1">
                  <c:v>1900</c:v>
                </c:pt>
                <c:pt idx="2">
                  <c:v>1910</c:v>
                </c:pt>
                <c:pt idx="3">
                  <c:v>1920</c:v>
                </c:pt>
                <c:pt idx="4">
                  <c:v>1930</c:v>
                </c:pt>
                <c:pt idx="5">
                  <c:v>1940</c:v>
                </c:pt>
                <c:pt idx="6">
                  <c:v>1950</c:v>
                </c:pt>
                <c:pt idx="7">
                  <c:v>1960</c:v>
                </c:pt>
                <c:pt idx="8">
                  <c:v>1970</c:v>
                </c:pt>
                <c:pt idx="9">
                  <c:v>1980</c:v>
                </c:pt>
                <c:pt idx="10">
                  <c:v>1990</c:v>
                </c:pt>
                <c:pt idx="11">
                  <c:v>2000</c:v>
                </c:pt>
                <c:pt idx="12">
                  <c:v>2010</c:v>
                </c:pt>
                <c:pt idx="13">
                  <c:v>2013</c:v>
                </c:pt>
              </c:numCache>
            </c:numRef>
          </c:xVal>
          <c:yVal>
            <c:numRef>
              <c:f>'Figure 1'!$C$3:$C$16</c:f>
              <c:numCache>
                <c:formatCode>0.0000</c:formatCode>
                <c:ptCount val="14"/>
                <c:pt idx="0">
                  <c:v>0.75585717181784773</c:v>
                </c:pt>
                <c:pt idx="1">
                  <c:v>0.70712476638363297</c:v>
                </c:pt>
                <c:pt idx="2">
                  <c:v>0.58842734246818318</c:v>
                </c:pt>
                <c:pt idx="3">
                  <c:v>0.5989953234837575</c:v>
                </c:pt>
                <c:pt idx="4">
                  <c:v>0.58099454726979494</c:v>
                </c:pt>
                <c:pt idx="5">
                  <c:v>0.42906890360569994</c:v>
                </c:pt>
                <c:pt idx="6">
                  <c:v>0.41862530000313819</c:v>
                </c:pt>
                <c:pt idx="7">
                  <c:v>0.30922581249911862</c:v>
                </c:pt>
                <c:pt idx="8">
                  <c:v>0.24601316066786877</c:v>
                </c:pt>
                <c:pt idx="9">
                  <c:v>0.19253257845673288</c:v>
                </c:pt>
                <c:pt idx="10">
                  <c:v>0.17630635612576942</c:v>
                </c:pt>
                <c:pt idx="11">
                  <c:v>0.18524929210727664</c:v>
                </c:pt>
                <c:pt idx="12">
                  <c:v>0.20789429254093089</c:v>
                </c:pt>
                <c:pt idx="13">
                  <c:v>0.21545058657487889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85312"/>
        <c:axId val="38287232"/>
      </c:scatterChart>
      <c:valAx>
        <c:axId val="38285312"/>
        <c:scaling>
          <c:orientation val="minMax"/>
          <c:max val="2013"/>
          <c:min val="1880"/>
        </c:scaling>
        <c:delete val="0"/>
        <c:axPos val="b"/>
        <c:numFmt formatCode="General" sourceLinked="0"/>
        <c:majorTickMark val="out"/>
        <c:minorTickMark val="none"/>
        <c:tickLblPos val="nextTo"/>
        <c:crossAx val="38287232"/>
        <c:crosses val="autoZero"/>
        <c:crossBetween val="midCat"/>
        <c:majorUnit val="20"/>
      </c:valAx>
      <c:valAx>
        <c:axId val="38287232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38285312"/>
        <c:crosses val="autoZero"/>
        <c:crossBetween val="midCat"/>
        <c:majorUnit val="0.25"/>
      </c:valAx>
    </c:plotArea>
    <c:legend>
      <c:legendPos val="r"/>
      <c:layout>
        <c:manualLayout>
          <c:xMode val="edge"/>
          <c:yMode val="edge"/>
          <c:x val="0.7792274678111587"/>
          <c:y val="2.0772342296102864E-2"/>
          <c:w val="0.20074391988555079"/>
          <c:h val="0.15698466970105671"/>
        </c:manualLayout>
      </c:layout>
      <c:overlay val="0"/>
      <c:spPr>
        <a:solidFill>
          <a:schemeClr val="bg1"/>
        </a:solidFill>
        <a:ln>
          <a:solidFill>
            <a:srgbClr val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/>
          <a:cs typeface="Times New Roman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65"/>
          <c:y val="4.621047369078865E-2"/>
          <c:w val="0.86999212598425202"/>
          <c:h val="0.86680539932508438"/>
        </c:manualLayout>
      </c:layout>
      <c:lineChart>
        <c:grouping val="standard"/>
        <c:varyColors val="0"/>
        <c:ser>
          <c:idx val="0"/>
          <c:order val="0"/>
          <c:tx>
            <c:strRef>
              <c:f>'Figure 2'!$P$2</c:f>
              <c:strCache>
                <c:ptCount val="1"/>
                <c:pt idx="0">
                  <c:v>1963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ysDash"/>
            </a:ln>
          </c:spPr>
          <c:marker>
            <c:symbol val="none"/>
          </c:marker>
          <c:cat>
            <c:numRef>
              <c:f>'Figure 2'!$O$3:$O$33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2'!$P$3:$P$33</c:f>
              <c:numCache>
                <c:formatCode>0</c:formatCode>
                <c:ptCount val="31"/>
                <c:pt idx="0">
                  <c:v>95.11</c:v>
                </c:pt>
                <c:pt idx="1">
                  <c:v>94</c:v>
                </c:pt>
                <c:pt idx="2">
                  <c:v>95</c:v>
                </c:pt>
                <c:pt idx="3">
                  <c:v>95</c:v>
                </c:pt>
                <c:pt idx="4">
                  <c:v>95</c:v>
                </c:pt>
                <c:pt idx="5">
                  <c:v>93</c:v>
                </c:pt>
                <c:pt idx="6">
                  <c:v>92</c:v>
                </c:pt>
                <c:pt idx="7">
                  <c:v>90</c:v>
                </c:pt>
                <c:pt idx="8">
                  <c:v>90</c:v>
                </c:pt>
                <c:pt idx="9">
                  <c:v>91</c:v>
                </c:pt>
                <c:pt idx="10">
                  <c:v>86</c:v>
                </c:pt>
                <c:pt idx="11">
                  <c:v>85</c:v>
                </c:pt>
                <c:pt idx="12">
                  <c:v>73</c:v>
                </c:pt>
                <c:pt idx="13">
                  <c:v>73</c:v>
                </c:pt>
                <c:pt idx="14">
                  <c:v>72</c:v>
                </c:pt>
                <c:pt idx="15">
                  <c:v>57.999999999999993</c:v>
                </c:pt>
                <c:pt idx="16">
                  <c:v>44</c:v>
                </c:pt>
                <c:pt idx="17">
                  <c:v>35</c:v>
                </c:pt>
                <c:pt idx="18">
                  <c:v>34</c:v>
                </c:pt>
                <c:pt idx="19">
                  <c:v>31</c:v>
                </c:pt>
                <c:pt idx="20">
                  <c:v>26</c:v>
                </c:pt>
                <c:pt idx="21">
                  <c:v>31</c:v>
                </c:pt>
                <c:pt idx="22">
                  <c:v>23</c:v>
                </c:pt>
                <c:pt idx="23">
                  <c:v>32</c:v>
                </c:pt>
                <c:pt idx="24">
                  <c:v>21</c:v>
                </c:pt>
                <c:pt idx="25">
                  <c:v>21</c:v>
                </c:pt>
                <c:pt idx="26">
                  <c:v>22</c:v>
                </c:pt>
                <c:pt idx="27">
                  <c:v>11</c:v>
                </c:pt>
                <c:pt idx="28">
                  <c:v>21</c:v>
                </c:pt>
                <c:pt idx="29">
                  <c:v>17</c:v>
                </c:pt>
                <c:pt idx="30">
                  <c:v>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2'!$R$2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'Figure 2'!$O$3:$O$33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2'!$R$3:$R$33</c:f>
              <c:numCache>
                <c:formatCode>0</c:formatCode>
                <c:ptCount val="31"/>
                <c:pt idx="0">
                  <c:v>92.320000000000007</c:v>
                </c:pt>
                <c:pt idx="1">
                  <c:v>89</c:v>
                </c:pt>
                <c:pt idx="2">
                  <c:v>86</c:v>
                </c:pt>
                <c:pt idx="3">
                  <c:v>87</c:v>
                </c:pt>
                <c:pt idx="4">
                  <c:v>87</c:v>
                </c:pt>
                <c:pt idx="5">
                  <c:v>82</c:v>
                </c:pt>
                <c:pt idx="6">
                  <c:v>83</c:v>
                </c:pt>
                <c:pt idx="7">
                  <c:v>81</c:v>
                </c:pt>
                <c:pt idx="8">
                  <c:v>78</c:v>
                </c:pt>
                <c:pt idx="9">
                  <c:v>74</c:v>
                </c:pt>
                <c:pt idx="10">
                  <c:v>68</c:v>
                </c:pt>
                <c:pt idx="11">
                  <c:v>64</c:v>
                </c:pt>
                <c:pt idx="12">
                  <c:v>51</c:v>
                </c:pt>
                <c:pt idx="13">
                  <c:v>49</c:v>
                </c:pt>
                <c:pt idx="14">
                  <c:v>42</c:v>
                </c:pt>
                <c:pt idx="15">
                  <c:v>31</c:v>
                </c:pt>
                <c:pt idx="16">
                  <c:v>26</c:v>
                </c:pt>
                <c:pt idx="17">
                  <c:v>26</c:v>
                </c:pt>
                <c:pt idx="18">
                  <c:v>17</c:v>
                </c:pt>
                <c:pt idx="19">
                  <c:v>24</c:v>
                </c:pt>
                <c:pt idx="20">
                  <c:v>15</c:v>
                </c:pt>
                <c:pt idx="21">
                  <c:v>15</c:v>
                </c:pt>
                <c:pt idx="22">
                  <c:v>16</c:v>
                </c:pt>
                <c:pt idx="23">
                  <c:v>11</c:v>
                </c:pt>
                <c:pt idx="24">
                  <c:v>20</c:v>
                </c:pt>
                <c:pt idx="25">
                  <c:v>16</c:v>
                </c:pt>
                <c:pt idx="26">
                  <c:v>9</c:v>
                </c:pt>
                <c:pt idx="27">
                  <c:v>8</c:v>
                </c:pt>
                <c:pt idx="28">
                  <c:v>12</c:v>
                </c:pt>
                <c:pt idx="29">
                  <c:v>8</c:v>
                </c:pt>
                <c:pt idx="30">
                  <c:v>7.0000000000000009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'Figure 2'!$T$2</c:f>
              <c:strCache>
                <c:ptCount val="1"/>
                <c:pt idx="0">
                  <c:v>2003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cat>
            <c:numRef>
              <c:f>'Figure 2'!$O$3:$O$33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2'!$T$3:$T$33</c:f>
              <c:numCache>
                <c:formatCode>0</c:formatCode>
                <c:ptCount val="31"/>
                <c:pt idx="0">
                  <c:v>86.13</c:v>
                </c:pt>
                <c:pt idx="1">
                  <c:v>87</c:v>
                </c:pt>
                <c:pt idx="2">
                  <c:v>84</c:v>
                </c:pt>
                <c:pt idx="3">
                  <c:v>83</c:v>
                </c:pt>
                <c:pt idx="4">
                  <c:v>82</c:v>
                </c:pt>
                <c:pt idx="5">
                  <c:v>82</c:v>
                </c:pt>
                <c:pt idx="6">
                  <c:v>81</c:v>
                </c:pt>
                <c:pt idx="7">
                  <c:v>78</c:v>
                </c:pt>
                <c:pt idx="8">
                  <c:v>79</c:v>
                </c:pt>
                <c:pt idx="9">
                  <c:v>74</c:v>
                </c:pt>
                <c:pt idx="10">
                  <c:v>69</c:v>
                </c:pt>
                <c:pt idx="11">
                  <c:v>64</c:v>
                </c:pt>
                <c:pt idx="12">
                  <c:v>55.000000000000007</c:v>
                </c:pt>
                <c:pt idx="13">
                  <c:v>51</c:v>
                </c:pt>
                <c:pt idx="14">
                  <c:v>43</c:v>
                </c:pt>
                <c:pt idx="15">
                  <c:v>38</c:v>
                </c:pt>
                <c:pt idx="16">
                  <c:v>34</c:v>
                </c:pt>
                <c:pt idx="17">
                  <c:v>31</c:v>
                </c:pt>
                <c:pt idx="18">
                  <c:v>31</c:v>
                </c:pt>
                <c:pt idx="19">
                  <c:v>27</c:v>
                </c:pt>
                <c:pt idx="20">
                  <c:v>24</c:v>
                </c:pt>
                <c:pt idx="21">
                  <c:v>23</c:v>
                </c:pt>
                <c:pt idx="22">
                  <c:v>23</c:v>
                </c:pt>
                <c:pt idx="23">
                  <c:v>16</c:v>
                </c:pt>
                <c:pt idx="24">
                  <c:v>15</c:v>
                </c:pt>
                <c:pt idx="25">
                  <c:v>15</c:v>
                </c:pt>
                <c:pt idx="26">
                  <c:v>11</c:v>
                </c:pt>
                <c:pt idx="27">
                  <c:v>10</c:v>
                </c:pt>
                <c:pt idx="28">
                  <c:v>14.000000000000002</c:v>
                </c:pt>
                <c:pt idx="29">
                  <c:v>10</c:v>
                </c:pt>
                <c:pt idx="30">
                  <c:v>7.0000000000000009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'Figure 2'!$U$2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numRef>
              <c:f>'Figure 2'!$O$3:$O$33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2'!$U$3:$U$33</c:f>
              <c:numCache>
                <c:formatCode>0</c:formatCode>
                <c:ptCount val="31"/>
                <c:pt idx="0">
                  <c:v>83.66</c:v>
                </c:pt>
                <c:pt idx="1">
                  <c:v>84</c:v>
                </c:pt>
                <c:pt idx="2">
                  <c:v>83</c:v>
                </c:pt>
                <c:pt idx="3">
                  <c:v>82</c:v>
                </c:pt>
                <c:pt idx="4">
                  <c:v>82</c:v>
                </c:pt>
                <c:pt idx="5">
                  <c:v>81</c:v>
                </c:pt>
                <c:pt idx="6">
                  <c:v>78</c:v>
                </c:pt>
                <c:pt idx="7">
                  <c:v>76</c:v>
                </c:pt>
                <c:pt idx="8">
                  <c:v>76</c:v>
                </c:pt>
                <c:pt idx="9">
                  <c:v>74</c:v>
                </c:pt>
                <c:pt idx="10">
                  <c:v>72</c:v>
                </c:pt>
                <c:pt idx="11">
                  <c:v>63</c:v>
                </c:pt>
                <c:pt idx="12">
                  <c:v>62</c:v>
                </c:pt>
                <c:pt idx="13">
                  <c:v>56.999999999999993</c:v>
                </c:pt>
                <c:pt idx="14">
                  <c:v>49</c:v>
                </c:pt>
                <c:pt idx="15">
                  <c:v>43</c:v>
                </c:pt>
                <c:pt idx="16">
                  <c:v>41</c:v>
                </c:pt>
                <c:pt idx="17">
                  <c:v>35</c:v>
                </c:pt>
                <c:pt idx="18">
                  <c:v>30</c:v>
                </c:pt>
                <c:pt idx="19">
                  <c:v>34</c:v>
                </c:pt>
                <c:pt idx="20">
                  <c:v>27</c:v>
                </c:pt>
                <c:pt idx="21">
                  <c:v>23</c:v>
                </c:pt>
                <c:pt idx="22">
                  <c:v>23</c:v>
                </c:pt>
                <c:pt idx="23">
                  <c:v>17</c:v>
                </c:pt>
                <c:pt idx="24">
                  <c:v>22</c:v>
                </c:pt>
                <c:pt idx="25">
                  <c:v>18</c:v>
                </c:pt>
                <c:pt idx="26">
                  <c:v>14.000000000000002</c:v>
                </c:pt>
                <c:pt idx="27">
                  <c:v>14.000000000000002</c:v>
                </c:pt>
                <c:pt idx="28">
                  <c:v>10</c:v>
                </c:pt>
                <c:pt idx="29">
                  <c:v>19</c:v>
                </c:pt>
                <c:pt idx="30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61184"/>
        <c:axId val="163476224"/>
      </c:lineChart>
      <c:catAx>
        <c:axId val="15686118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34762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6347622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6861184"/>
        <c:crosses val="autoZero"/>
        <c:crossBetween val="between"/>
        <c:majorUnit val="20"/>
        <c:dispUnits>
          <c:builtInUnit val="hundreds"/>
        </c:dispUnits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4199623352165722"/>
          <c:y val="6.6666666666666666E-2"/>
          <c:w val="0.20903954802259886"/>
          <c:h val="0.29523809523809524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11111111111113E-2"/>
          <c:y val="4.621047369078865E-2"/>
          <c:w val="0.87211334694274323"/>
          <c:h val="0.84187602613503087"/>
        </c:manualLayout>
      </c:layout>
      <c:lineChart>
        <c:grouping val="standard"/>
        <c:varyColors val="0"/>
        <c:ser>
          <c:idx val="1"/>
          <c:order val="0"/>
          <c:tx>
            <c:strRef>
              <c:f>'Figure 3'!$L$5</c:f>
              <c:strCache>
                <c:ptCount val="1"/>
                <c:pt idx="0">
                  <c:v>1963</c:v>
                </c:pt>
              </c:strCache>
            </c:strRef>
          </c:tx>
          <c:spPr>
            <a:ln w="25400">
              <a:solidFill>
                <a:srgbClr val="800000"/>
              </a:solidFill>
              <a:prstDash val="dash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-1.2345784038301746E-2"/>
                  <c:y val="-7.6257999664935516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'Figure 3'!$K$6:$K$36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3'!$L$6:$L$36</c:f>
              <c:numCache>
                <c:formatCode>0%</c:formatCode>
                <c:ptCount val="31"/>
                <c:pt idx="0">
                  <c:v>0.52280000000000004</c:v>
                </c:pt>
                <c:pt idx="1">
                  <c:v>0.51</c:v>
                </c:pt>
                <c:pt idx="2">
                  <c:v>0.52</c:v>
                </c:pt>
                <c:pt idx="3">
                  <c:v>0.48</c:v>
                </c:pt>
                <c:pt idx="4">
                  <c:v>0.56000000000000005</c:v>
                </c:pt>
                <c:pt idx="5">
                  <c:v>0.54</c:v>
                </c:pt>
                <c:pt idx="6">
                  <c:v>0.45</c:v>
                </c:pt>
                <c:pt idx="7">
                  <c:v>0.47</c:v>
                </c:pt>
                <c:pt idx="8">
                  <c:v>0.46</c:v>
                </c:pt>
                <c:pt idx="9">
                  <c:v>0.43</c:v>
                </c:pt>
                <c:pt idx="10">
                  <c:v>0.39</c:v>
                </c:pt>
                <c:pt idx="11">
                  <c:v>0.33</c:v>
                </c:pt>
                <c:pt idx="12">
                  <c:v>0.34</c:v>
                </c:pt>
                <c:pt idx="13">
                  <c:v>0.27</c:v>
                </c:pt>
                <c:pt idx="14">
                  <c:v>0.28999999999999998</c:v>
                </c:pt>
                <c:pt idx="15">
                  <c:v>0.19</c:v>
                </c:pt>
                <c:pt idx="16">
                  <c:v>0.25</c:v>
                </c:pt>
                <c:pt idx="17">
                  <c:v>0.19</c:v>
                </c:pt>
                <c:pt idx="18">
                  <c:v>0.13</c:v>
                </c:pt>
                <c:pt idx="19">
                  <c:v>0.17</c:v>
                </c:pt>
                <c:pt idx="20">
                  <c:v>0.11</c:v>
                </c:pt>
                <c:pt idx="21">
                  <c:v>0.12</c:v>
                </c:pt>
                <c:pt idx="22">
                  <c:v>0.11</c:v>
                </c:pt>
                <c:pt idx="23">
                  <c:v>0.06</c:v>
                </c:pt>
                <c:pt idx="24">
                  <c:v>0.06</c:v>
                </c:pt>
                <c:pt idx="25">
                  <c:v>0.04</c:v>
                </c:pt>
                <c:pt idx="26">
                  <c:v>0.04</c:v>
                </c:pt>
                <c:pt idx="27">
                  <c:v>0.09</c:v>
                </c:pt>
                <c:pt idx="28">
                  <c:v>0.03</c:v>
                </c:pt>
                <c:pt idx="29">
                  <c:v>0.04</c:v>
                </c:pt>
                <c:pt idx="30">
                  <c:v>0.02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'Figure 3'!$N$5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-2.0674435167965813E-2"/>
                  <c:y val="3.14588708326352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'Figure 3'!$K$6:$K$36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3'!$N$6:$N$36</c:f>
              <c:numCache>
                <c:formatCode>0%</c:formatCode>
                <c:ptCount val="31"/>
                <c:pt idx="0">
                  <c:v>0.63870000000000005</c:v>
                </c:pt>
                <c:pt idx="1">
                  <c:v>0.64</c:v>
                </c:pt>
                <c:pt idx="2">
                  <c:v>0.59</c:v>
                </c:pt>
                <c:pt idx="3">
                  <c:v>0.59</c:v>
                </c:pt>
                <c:pt idx="4">
                  <c:v>0.56000000000000005</c:v>
                </c:pt>
                <c:pt idx="5">
                  <c:v>0.52</c:v>
                </c:pt>
                <c:pt idx="6">
                  <c:v>0.54</c:v>
                </c:pt>
                <c:pt idx="7">
                  <c:v>0.51</c:v>
                </c:pt>
                <c:pt idx="8">
                  <c:v>0.46</c:v>
                </c:pt>
                <c:pt idx="9">
                  <c:v>0.46</c:v>
                </c:pt>
                <c:pt idx="10">
                  <c:v>0.45</c:v>
                </c:pt>
                <c:pt idx="11">
                  <c:v>0.38</c:v>
                </c:pt>
                <c:pt idx="12">
                  <c:v>0.32</c:v>
                </c:pt>
                <c:pt idx="13">
                  <c:v>0.32</c:v>
                </c:pt>
                <c:pt idx="14">
                  <c:v>0.22</c:v>
                </c:pt>
                <c:pt idx="15">
                  <c:v>0.18</c:v>
                </c:pt>
                <c:pt idx="16">
                  <c:v>0.13</c:v>
                </c:pt>
                <c:pt idx="17">
                  <c:v>0.15</c:v>
                </c:pt>
                <c:pt idx="18">
                  <c:v>0.12</c:v>
                </c:pt>
                <c:pt idx="19">
                  <c:v>0.12</c:v>
                </c:pt>
                <c:pt idx="20">
                  <c:v>0.12</c:v>
                </c:pt>
                <c:pt idx="21">
                  <c:v>0.1</c:v>
                </c:pt>
                <c:pt idx="22">
                  <c:v>7.0000000000000007E-2</c:v>
                </c:pt>
                <c:pt idx="23">
                  <c:v>0.06</c:v>
                </c:pt>
                <c:pt idx="24">
                  <c:v>0.05</c:v>
                </c:pt>
                <c:pt idx="25">
                  <c:v>0.05</c:v>
                </c:pt>
                <c:pt idx="26">
                  <c:v>0.03</c:v>
                </c:pt>
                <c:pt idx="27">
                  <c:v>0.02</c:v>
                </c:pt>
                <c:pt idx="28">
                  <c:v>0.04</c:v>
                </c:pt>
                <c:pt idx="29">
                  <c:v>0.04</c:v>
                </c:pt>
                <c:pt idx="30">
                  <c:v>0.02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3'!$P$5</c:f>
              <c:strCache>
                <c:ptCount val="1"/>
                <c:pt idx="0">
                  <c:v>2003</c:v>
                </c:pt>
              </c:strCache>
            </c:strRef>
          </c:tx>
          <c:spPr>
            <a:ln w="2222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'Figure 3'!$K$6:$K$36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3'!$P$6:$P$36</c:f>
              <c:numCache>
                <c:formatCode>0%</c:formatCode>
                <c:ptCount val="31"/>
                <c:pt idx="0">
                  <c:v>0.77170000000000005</c:v>
                </c:pt>
                <c:pt idx="1">
                  <c:v>0.77</c:v>
                </c:pt>
                <c:pt idx="2">
                  <c:v>0.74</c:v>
                </c:pt>
                <c:pt idx="3">
                  <c:v>0.76</c:v>
                </c:pt>
                <c:pt idx="4">
                  <c:v>0.71</c:v>
                </c:pt>
                <c:pt idx="5">
                  <c:v>0.68</c:v>
                </c:pt>
                <c:pt idx="6">
                  <c:v>0.67</c:v>
                </c:pt>
                <c:pt idx="7">
                  <c:v>0.63</c:v>
                </c:pt>
                <c:pt idx="8">
                  <c:v>0.61</c:v>
                </c:pt>
                <c:pt idx="9">
                  <c:v>0.6</c:v>
                </c:pt>
                <c:pt idx="10">
                  <c:v>0.56999999999999995</c:v>
                </c:pt>
                <c:pt idx="11">
                  <c:v>0.52</c:v>
                </c:pt>
                <c:pt idx="12">
                  <c:v>0.47</c:v>
                </c:pt>
                <c:pt idx="13">
                  <c:v>0.36</c:v>
                </c:pt>
                <c:pt idx="14">
                  <c:v>0.34</c:v>
                </c:pt>
                <c:pt idx="15">
                  <c:v>0.28999999999999998</c:v>
                </c:pt>
                <c:pt idx="16">
                  <c:v>0.27</c:v>
                </c:pt>
                <c:pt idx="17">
                  <c:v>0.25</c:v>
                </c:pt>
                <c:pt idx="18">
                  <c:v>0.24</c:v>
                </c:pt>
                <c:pt idx="19">
                  <c:v>0.21</c:v>
                </c:pt>
                <c:pt idx="20">
                  <c:v>0.16</c:v>
                </c:pt>
                <c:pt idx="21">
                  <c:v>0.12</c:v>
                </c:pt>
                <c:pt idx="22">
                  <c:v>0.11</c:v>
                </c:pt>
                <c:pt idx="23">
                  <c:v>0.09</c:v>
                </c:pt>
                <c:pt idx="24">
                  <c:v>0.09</c:v>
                </c:pt>
                <c:pt idx="25">
                  <c:v>0.08</c:v>
                </c:pt>
                <c:pt idx="26">
                  <c:v>7.0000000000000007E-2</c:v>
                </c:pt>
                <c:pt idx="27">
                  <c:v>7.0000000000000007E-2</c:v>
                </c:pt>
                <c:pt idx="28">
                  <c:v>0.05</c:v>
                </c:pt>
                <c:pt idx="29">
                  <c:v>0.04</c:v>
                </c:pt>
                <c:pt idx="30">
                  <c:v>0.03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3'!$Q$5</c:f>
              <c:strCache>
                <c:ptCount val="1"/>
                <c:pt idx="0">
                  <c:v>2013</c:v>
                </c:pt>
              </c:strCache>
            </c:strRef>
          </c:tx>
          <c:spPr>
            <a:ln w="22225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3'!$K$6:$K$36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3'!$Q$6:$Q$36</c:f>
              <c:numCache>
                <c:formatCode>0%</c:formatCode>
                <c:ptCount val="31"/>
                <c:pt idx="0">
                  <c:v>0.73160000000000003</c:v>
                </c:pt>
                <c:pt idx="1">
                  <c:v>0.75</c:v>
                </c:pt>
                <c:pt idx="2">
                  <c:v>0.75</c:v>
                </c:pt>
                <c:pt idx="3">
                  <c:v>0.72</c:v>
                </c:pt>
                <c:pt idx="4">
                  <c:v>0.73</c:v>
                </c:pt>
                <c:pt idx="5">
                  <c:v>0.72</c:v>
                </c:pt>
                <c:pt idx="6">
                  <c:v>0.71</c:v>
                </c:pt>
                <c:pt idx="7">
                  <c:v>0.68</c:v>
                </c:pt>
                <c:pt idx="8">
                  <c:v>0.63</c:v>
                </c:pt>
                <c:pt idx="9">
                  <c:v>0.6</c:v>
                </c:pt>
                <c:pt idx="10">
                  <c:v>0.6</c:v>
                </c:pt>
                <c:pt idx="11">
                  <c:v>0.56999999999999995</c:v>
                </c:pt>
                <c:pt idx="12">
                  <c:v>0.49</c:v>
                </c:pt>
                <c:pt idx="13">
                  <c:v>0.46</c:v>
                </c:pt>
                <c:pt idx="14">
                  <c:v>0.41</c:v>
                </c:pt>
                <c:pt idx="15">
                  <c:v>0.35</c:v>
                </c:pt>
                <c:pt idx="16">
                  <c:v>0.3</c:v>
                </c:pt>
                <c:pt idx="17">
                  <c:v>0.25</c:v>
                </c:pt>
                <c:pt idx="18">
                  <c:v>0.25</c:v>
                </c:pt>
                <c:pt idx="19">
                  <c:v>0.2</c:v>
                </c:pt>
                <c:pt idx="20">
                  <c:v>0.18</c:v>
                </c:pt>
                <c:pt idx="21">
                  <c:v>0.17</c:v>
                </c:pt>
                <c:pt idx="22">
                  <c:v>0.2</c:v>
                </c:pt>
                <c:pt idx="23">
                  <c:v>0.15</c:v>
                </c:pt>
                <c:pt idx="24">
                  <c:v>0.12</c:v>
                </c:pt>
                <c:pt idx="25">
                  <c:v>0.12</c:v>
                </c:pt>
                <c:pt idx="26">
                  <c:v>0.08</c:v>
                </c:pt>
                <c:pt idx="27">
                  <c:v>0.09</c:v>
                </c:pt>
                <c:pt idx="28">
                  <c:v>0.1</c:v>
                </c:pt>
                <c:pt idx="29">
                  <c:v>0.09</c:v>
                </c:pt>
                <c:pt idx="30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17408"/>
        <c:axId val="39690240"/>
      </c:lineChart>
      <c:catAx>
        <c:axId val="3921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39690240"/>
        <c:crosses val="autoZero"/>
        <c:auto val="1"/>
        <c:lblAlgn val="ctr"/>
        <c:lblOffset val="0"/>
        <c:tickLblSkip val="5"/>
        <c:tickMarkSkip val="5"/>
        <c:noMultiLvlLbl val="0"/>
      </c:catAx>
      <c:valAx>
        <c:axId val="396902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3921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3047277888547189"/>
          <c:y val="0.19543838270216227"/>
          <c:w val="0.16952722111452806"/>
          <c:h val="0.286636670416198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ScalaOT-Regular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'Figure 4'!$M$4</c:f>
              <c:strCache>
                <c:ptCount val="1"/>
                <c:pt idx="0">
                  <c:v>Men</c:v>
                </c:pt>
              </c:strCache>
            </c:strRef>
          </c:tx>
          <c:spPr>
            <a:ln w="25400">
              <a:solidFill>
                <a:srgbClr val="808080"/>
              </a:solidFill>
            </a:ln>
          </c:spPr>
          <c:marker>
            <c:symbol val="none"/>
          </c:marker>
          <c:cat>
            <c:numRef>
              <c:f>'Figure 4'!$L$5:$L$35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4'!$M$5:$M$35</c:f>
              <c:numCache>
                <c:formatCode>0%</c:formatCode>
                <c:ptCount val="31"/>
                <c:pt idx="0">
                  <c:v>0.83660000000000001</c:v>
                </c:pt>
                <c:pt idx="1">
                  <c:v>0.84</c:v>
                </c:pt>
                <c:pt idx="2">
                  <c:v>0.83</c:v>
                </c:pt>
                <c:pt idx="3">
                  <c:v>0.82</c:v>
                </c:pt>
                <c:pt idx="4">
                  <c:v>0.82</c:v>
                </c:pt>
                <c:pt idx="5">
                  <c:v>0.81</c:v>
                </c:pt>
                <c:pt idx="6">
                  <c:v>0.78</c:v>
                </c:pt>
                <c:pt idx="7">
                  <c:v>0.76</c:v>
                </c:pt>
                <c:pt idx="8">
                  <c:v>0.76</c:v>
                </c:pt>
                <c:pt idx="9">
                  <c:v>0.74</c:v>
                </c:pt>
                <c:pt idx="10">
                  <c:v>0.72</c:v>
                </c:pt>
                <c:pt idx="11">
                  <c:v>0.63</c:v>
                </c:pt>
                <c:pt idx="12">
                  <c:v>0.62</c:v>
                </c:pt>
                <c:pt idx="13">
                  <c:v>0.56999999999999995</c:v>
                </c:pt>
                <c:pt idx="14">
                  <c:v>0.49</c:v>
                </c:pt>
                <c:pt idx="15">
                  <c:v>0.43</c:v>
                </c:pt>
                <c:pt idx="16">
                  <c:v>0.41</c:v>
                </c:pt>
                <c:pt idx="17">
                  <c:v>0.35</c:v>
                </c:pt>
                <c:pt idx="18">
                  <c:v>0.3</c:v>
                </c:pt>
                <c:pt idx="19">
                  <c:v>0.34</c:v>
                </c:pt>
                <c:pt idx="20">
                  <c:v>0.27</c:v>
                </c:pt>
                <c:pt idx="21">
                  <c:v>0.23</c:v>
                </c:pt>
                <c:pt idx="22">
                  <c:v>0.23</c:v>
                </c:pt>
                <c:pt idx="23">
                  <c:v>0.17</c:v>
                </c:pt>
                <c:pt idx="24">
                  <c:v>0.22</c:v>
                </c:pt>
                <c:pt idx="25">
                  <c:v>0.18</c:v>
                </c:pt>
                <c:pt idx="26">
                  <c:v>0.14000000000000001</c:v>
                </c:pt>
                <c:pt idx="27">
                  <c:v>0.14000000000000001</c:v>
                </c:pt>
                <c:pt idx="28">
                  <c:v>0.1</c:v>
                </c:pt>
                <c:pt idx="29">
                  <c:v>0.19</c:v>
                </c:pt>
                <c:pt idx="30">
                  <c:v>0.12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4'!$N$4</c:f>
              <c:strCache>
                <c:ptCount val="1"/>
                <c:pt idx="0">
                  <c:v>Women</c:v>
                </c:pt>
              </c:strCache>
            </c:strRef>
          </c:tx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4'!$L$5:$L$35</c:f>
              <c:numCache>
                <c:formatCode>General</c:formatCode>
                <c:ptCount val="31"/>
                <c:pt idx="0">
                  <c:v>50</c:v>
                </c:pt>
                <c:pt idx="1">
                  <c:v>51</c:v>
                </c:pt>
                <c:pt idx="2">
                  <c:v>52</c:v>
                </c:pt>
                <c:pt idx="3">
                  <c:v>53</c:v>
                </c:pt>
                <c:pt idx="4">
                  <c:v>54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58</c:v>
                </c:pt>
                <c:pt idx="9">
                  <c:v>59</c:v>
                </c:pt>
                <c:pt idx="10">
                  <c:v>60</c:v>
                </c:pt>
                <c:pt idx="11">
                  <c:v>61</c:v>
                </c:pt>
                <c:pt idx="12">
                  <c:v>62</c:v>
                </c:pt>
                <c:pt idx="13">
                  <c:v>63</c:v>
                </c:pt>
                <c:pt idx="14">
                  <c:v>64</c:v>
                </c:pt>
                <c:pt idx="15">
                  <c:v>65</c:v>
                </c:pt>
                <c:pt idx="16">
                  <c:v>66</c:v>
                </c:pt>
                <c:pt idx="17">
                  <c:v>67</c:v>
                </c:pt>
                <c:pt idx="18">
                  <c:v>68</c:v>
                </c:pt>
                <c:pt idx="19">
                  <c:v>69</c:v>
                </c:pt>
                <c:pt idx="20">
                  <c:v>70</c:v>
                </c:pt>
                <c:pt idx="21">
                  <c:v>71</c:v>
                </c:pt>
                <c:pt idx="22">
                  <c:v>72</c:v>
                </c:pt>
                <c:pt idx="23">
                  <c:v>73</c:v>
                </c:pt>
                <c:pt idx="24">
                  <c:v>74</c:v>
                </c:pt>
                <c:pt idx="25">
                  <c:v>75</c:v>
                </c:pt>
                <c:pt idx="26">
                  <c:v>76</c:v>
                </c:pt>
                <c:pt idx="27">
                  <c:v>77</c:v>
                </c:pt>
                <c:pt idx="28">
                  <c:v>78</c:v>
                </c:pt>
                <c:pt idx="29">
                  <c:v>79</c:v>
                </c:pt>
                <c:pt idx="30">
                  <c:v>80</c:v>
                </c:pt>
              </c:numCache>
            </c:numRef>
          </c:cat>
          <c:val>
            <c:numRef>
              <c:f>'Figure 4'!$N$5:$N$35</c:f>
              <c:numCache>
                <c:formatCode>0%</c:formatCode>
                <c:ptCount val="31"/>
                <c:pt idx="0">
                  <c:v>0.73160000000000003</c:v>
                </c:pt>
                <c:pt idx="1">
                  <c:v>0.75</c:v>
                </c:pt>
                <c:pt idx="2">
                  <c:v>0.75</c:v>
                </c:pt>
                <c:pt idx="3">
                  <c:v>0.72</c:v>
                </c:pt>
                <c:pt idx="4">
                  <c:v>0.73</c:v>
                </c:pt>
                <c:pt idx="5">
                  <c:v>0.72</c:v>
                </c:pt>
                <c:pt idx="6">
                  <c:v>0.71</c:v>
                </c:pt>
                <c:pt idx="7">
                  <c:v>0.68</c:v>
                </c:pt>
                <c:pt idx="8">
                  <c:v>0.63</c:v>
                </c:pt>
                <c:pt idx="9">
                  <c:v>0.6</c:v>
                </c:pt>
                <c:pt idx="10">
                  <c:v>0.6</c:v>
                </c:pt>
                <c:pt idx="11">
                  <c:v>0.56999999999999995</c:v>
                </c:pt>
                <c:pt idx="12">
                  <c:v>0.49</c:v>
                </c:pt>
                <c:pt idx="13">
                  <c:v>0.46</c:v>
                </c:pt>
                <c:pt idx="14">
                  <c:v>0.41</c:v>
                </c:pt>
                <c:pt idx="15">
                  <c:v>0.35</c:v>
                </c:pt>
                <c:pt idx="16">
                  <c:v>0.3</c:v>
                </c:pt>
                <c:pt idx="17">
                  <c:v>0.25</c:v>
                </c:pt>
                <c:pt idx="18">
                  <c:v>0.25</c:v>
                </c:pt>
                <c:pt idx="19">
                  <c:v>0.2</c:v>
                </c:pt>
                <c:pt idx="20">
                  <c:v>0.18</c:v>
                </c:pt>
                <c:pt idx="21">
                  <c:v>0.17</c:v>
                </c:pt>
                <c:pt idx="22">
                  <c:v>0.2</c:v>
                </c:pt>
                <c:pt idx="23">
                  <c:v>0.15</c:v>
                </c:pt>
                <c:pt idx="24">
                  <c:v>0.12</c:v>
                </c:pt>
                <c:pt idx="25">
                  <c:v>0.12</c:v>
                </c:pt>
                <c:pt idx="26">
                  <c:v>0.08</c:v>
                </c:pt>
                <c:pt idx="27">
                  <c:v>0.09</c:v>
                </c:pt>
                <c:pt idx="28">
                  <c:v>0.1</c:v>
                </c:pt>
                <c:pt idx="29">
                  <c:v>0.09</c:v>
                </c:pt>
                <c:pt idx="30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1415424"/>
        <c:axId val="171416960"/>
      </c:lineChart>
      <c:catAx>
        <c:axId val="17141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141696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714169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71415424"/>
        <c:crosses val="autoZero"/>
        <c:crossBetween val="between"/>
        <c:majorUnit val="0.2"/>
      </c:valAx>
    </c:plotArea>
    <c:legend>
      <c:legendPos val="r"/>
      <c:layout>
        <c:manualLayout>
          <c:xMode val="edge"/>
          <c:yMode val="edge"/>
          <c:x val="0.78705555555555551"/>
          <c:y val="0.31961030912802568"/>
          <c:w val="0.17127777777777778"/>
          <c:h val="0.15707567804024497"/>
        </c:manualLayout>
      </c:layout>
      <c:overlay val="1"/>
      <c:spPr>
        <a:solidFill>
          <a:schemeClr val="bg1"/>
        </a:solidFill>
        <a:ln>
          <a:solidFill>
            <a:srgbClr val="80808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611111111111113E-2"/>
          <c:y val="4.621047369078865E-2"/>
          <c:w val="0.87211334694274323"/>
          <c:h val="0.84187602613503087"/>
        </c:manualLayout>
      </c:layout>
      <c:lineChart>
        <c:grouping val="standard"/>
        <c:varyColors val="0"/>
        <c:ser>
          <c:idx val="1"/>
          <c:order val="0"/>
          <c:tx>
            <c:strRef>
              <c:f>'[1]Avg Ret Age (2)'!$B$1</c:f>
              <c:strCache>
                <c:ptCount val="1"/>
                <c:pt idx="0">
                  <c:v>Men</c:v>
                </c:pt>
              </c:strCache>
            </c:strRef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-1.2345784038301746E-2"/>
                  <c:y val="-7.6257999664935516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val>
            <c:numRef>
              <c:f>'[1]Avg Ret Age (2)'!$B$2:$B$53</c:f>
              <c:numCache>
                <c:formatCode>General</c:formatCode>
                <c:ptCount val="52"/>
                <c:pt idx="0">
                  <c:v>65.559288537549392</c:v>
                </c:pt>
                <c:pt idx="1">
                  <c:v>65.213465952563098</c:v>
                </c:pt>
                <c:pt idx="2">
                  <c:v>65.576452599388404</c:v>
                </c:pt>
                <c:pt idx="3">
                  <c:v>65.588952654232401</c:v>
                </c:pt>
                <c:pt idx="4">
                  <c:v>65.556983718937403</c:v>
                </c:pt>
                <c:pt idx="5">
                  <c:v>65.558550968828996</c:v>
                </c:pt>
                <c:pt idx="6">
                  <c:v>65.582407407407402</c:v>
                </c:pt>
                <c:pt idx="7">
                  <c:v>65.567944250871108</c:v>
                </c:pt>
                <c:pt idx="8">
                  <c:v>65.3890784982935</c:v>
                </c:pt>
                <c:pt idx="9">
                  <c:v>64.723821187997601</c:v>
                </c:pt>
                <c:pt idx="10">
                  <c:v>64.656026417171191</c:v>
                </c:pt>
                <c:pt idx="11">
                  <c:v>64.592570401437996</c:v>
                </c:pt>
                <c:pt idx="12">
                  <c:v>64.467312348668301</c:v>
                </c:pt>
                <c:pt idx="13">
                  <c:v>64.2873263888889</c:v>
                </c:pt>
                <c:pt idx="14">
                  <c:v>63.762812872467201</c:v>
                </c:pt>
                <c:pt idx="15">
                  <c:v>64.176336226587509</c:v>
                </c:pt>
                <c:pt idx="16">
                  <c:v>63.222811671087499</c:v>
                </c:pt>
                <c:pt idx="17">
                  <c:v>64.011371237458206</c:v>
                </c:pt>
                <c:pt idx="18">
                  <c:v>64.110665137614703</c:v>
                </c:pt>
                <c:pt idx="19">
                  <c:v>63.169201520912502</c:v>
                </c:pt>
                <c:pt idx="20">
                  <c:v>62.27</c:v>
                </c:pt>
                <c:pt idx="21">
                  <c:v>62.676089517078907</c:v>
                </c:pt>
                <c:pt idx="22">
                  <c:v>62.729064039408897</c:v>
                </c:pt>
                <c:pt idx="23">
                  <c:v>61.964332036316506</c:v>
                </c:pt>
                <c:pt idx="24">
                  <c:v>62.453294001966597</c:v>
                </c:pt>
                <c:pt idx="25">
                  <c:v>62.585158150851605</c:v>
                </c:pt>
                <c:pt idx="26">
                  <c:v>62.447368421052595</c:v>
                </c:pt>
                <c:pt idx="27">
                  <c:v>62.327793167128398</c:v>
                </c:pt>
                <c:pt idx="28">
                  <c:v>62.353535353535307</c:v>
                </c:pt>
                <c:pt idx="29">
                  <c:v>61.884169884169907</c:v>
                </c:pt>
                <c:pt idx="30">
                  <c:v>62.461055276381906</c:v>
                </c:pt>
                <c:pt idx="31">
                  <c:v>62.446780551905398</c:v>
                </c:pt>
                <c:pt idx="32">
                  <c:v>62.095420146964194</c:v>
                </c:pt>
                <c:pt idx="33">
                  <c:v>61.744059742023104</c:v>
                </c:pt>
                <c:pt idx="34">
                  <c:v>62.249077490774894</c:v>
                </c:pt>
                <c:pt idx="35">
                  <c:v>62.467852257181903</c:v>
                </c:pt>
                <c:pt idx="36">
                  <c:v>62.801968019680196</c:v>
                </c:pt>
                <c:pt idx="37">
                  <c:v>62.4547677261614</c:v>
                </c:pt>
                <c:pt idx="38">
                  <c:v>62.577424023154805</c:v>
                </c:pt>
                <c:pt idx="39">
                  <c:v>62.596741344195493</c:v>
                </c:pt>
                <c:pt idx="40">
                  <c:v>62.825105782792704</c:v>
                </c:pt>
                <c:pt idx="41">
                  <c:v>62.650900900900893</c:v>
                </c:pt>
                <c:pt idx="42">
                  <c:v>63.112079701120805</c:v>
                </c:pt>
                <c:pt idx="43">
                  <c:v>62.896236012207495</c:v>
                </c:pt>
                <c:pt idx="44">
                  <c:v>63.523758099352001</c:v>
                </c:pt>
                <c:pt idx="45">
                  <c:v>62.941605839416106</c:v>
                </c:pt>
                <c:pt idx="46">
                  <c:v>64.062807881773395</c:v>
                </c:pt>
                <c:pt idx="47">
                  <c:v>64.128824476650607</c:v>
                </c:pt>
                <c:pt idx="48">
                  <c:v>64.074041034790397</c:v>
                </c:pt>
                <c:pt idx="49">
                  <c:v>63.660305343511503</c:v>
                </c:pt>
                <c:pt idx="50">
                  <c:v>63.742616033755297</c:v>
                </c:pt>
                <c:pt idx="51">
                  <c:v>63.921465968586396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'[1]Avg Ret Age (2)'!$C$1</c:f>
              <c:strCache>
                <c:ptCount val="1"/>
                <c:pt idx="0">
                  <c:v>Women</c:v>
                </c:pt>
              </c:strCache>
            </c:strRef>
          </c:tx>
          <c:spPr>
            <a:ln w="25400">
              <a:solidFill>
                <a:srgbClr val="900000"/>
              </a:solidFill>
              <a:prstDash val="solid"/>
            </a:ln>
          </c:spPr>
          <c:marker>
            <c:symbol val="none"/>
          </c:marker>
          <c:dLbls>
            <c:dLbl>
              <c:idx val="51"/>
              <c:layout>
                <c:manualLayout>
                  <c:x val="-2.0674435167965813E-2"/>
                  <c:y val="3.145887083263528E-2"/>
                </c:manualLayout>
              </c:layout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'[1]Avg Ret Age (2)'!$A$2:$A$53</c:f>
              <c:numCache>
                <c:formatCode>General</c:formatCode>
                <c:ptCount val="52"/>
                <c:pt idx="0">
                  <c:v>1962</c:v>
                </c:pt>
                <c:pt idx="1">
                  <c:v>1963</c:v>
                </c:pt>
                <c:pt idx="2">
                  <c:v>1964</c:v>
                </c:pt>
                <c:pt idx="3">
                  <c:v>1965</c:v>
                </c:pt>
                <c:pt idx="4">
                  <c:v>1966</c:v>
                </c:pt>
                <c:pt idx="5">
                  <c:v>1967</c:v>
                </c:pt>
                <c:pt idx="6">
                  <c:v>1968</c:v>
                </c:pt>
                <c:pt idx="7">
                  <c:v>1969</c:v>
                </c:pt>
                <c:pt idx="8">
                  <c:v>1970</c:v>
                </c:pt>
                <c:pt idx="9">
                  <c:v>1971</c:v>
                </c:pt>
                <c:pt idx="10">
                  <c:v>1972</c:v>
                </c:pt>
                <c:pt idx="11">
                  <c:v>1973</c:v>
                </c:pt>
                <c:pt idx="12">
                  <c:v>1974</c:v>
                </c:pt>
                <c:pt idx="13">
                  <c:v>1975</c:v>
                </c:pt>
                <c:pt idx="14">
                  <c:v>1976</c:v>
                </c:pt>
                <c:pt idx="15">
                  <c:v>1977</c:v>
                </c:pt>
                <c:pt idx="16">
                  <c:v>1978</c:v>
                </c:pt>
                <c:pt idx="17">
                  <c:v>1979</c:v>
                </c:pt>
                <c:pt idx="18">
                  <c:v>1980</c:v>
                </c:pt>
                <c:pt idx="19">
                  <c:v>1981</c:v>
                </c:pt>
                <c:pt idx="20">
                  <c:v>1982</c:v>
                </c:pt>
                <c:pt idx="21">
                  <c:v>1983</c:v>
                </c:pt>
                <c:pt idx="22">
                  <c:v>1984</c:v>
                </c:pt>
                <c:pt idx="23">
                  <c:v>1985</c:v>
                </c:pt>
                <c:pt idx="24">
                  <c:v>1986</c:v>
                </c:pt>
                <c:pt idx="25">
                  <c:v>1987</c:v>
                </c:pt>
                <c:pt idx="26">
                  <c:v>1988</c:v>
                </c:pt>
                <c:pt idx="27">
                  <c:v>1989</c:v>
                </c:pt>
                <c:pt idx="28">
                  <c:v>1990</c:v>
                </c:pt>
                <c:pt idx="29">
                  <c:v>1991</c:v>
                </c:pt>
                <c:pt idx="30">
                  <c:v>1992</c:v>
                </c:pt>
                <c:pt idx="31">
                  <c:v>1993</c:v>
                </c:pt>
                <c:pt idx="32">
                  <c:v>1994</c:v>
                </c:pt>
                <c:pt idx="33">
                  <c:v>1995</c:v>
                </c:pt>
                <c:pt idx="34">
                  <c:v>1996</c:v>
                </c:pt>
                <c:pt idx="35">
                  <c:v>1997</c:v>
                </c:pt>
                <c:pt idx="36">
                  <c:v>1998</c:v>
                </c:pt>
                <c:pt idx="37">
                  <c:v>1999</c:v>
                </c:pt>
                <c:pt idx="38">
                  <c:v>2000</c:v>
                </c:pt>
                <c:pt idx="39">
                  <c:v>2001</c:v>
                </c:pt>
                <c:pt idx="40">
                  <c:v>2002</c:v>
                </c:pt>
                <c:pt idx="41">
                  <c:v>2003</c:v>
                </c:pt>
                <c:pt idx="42">
                  <c:v>2004</c:v>
                </c:pt>
                <c:pt idx="43">
                  <c:v>2005</c:v>
                </c:pt>
                <c:pt idx="44">
                  <c:v>2006</c:v>
                </c:pt>
                <c:pt idx="45">
                  <c:v>2007</c:v>
                </c:pt>
                <c:pt idx="46">
                  <c:v>2008</c:v>
                </c:pt>
                <c:pt idx="47">
                  <c:v>2009</c:v>
                </c:pt>
                <c:pt idx="48">
                  <c:v>2010</c:v>
                </c:pt>
                <c:pt idx="49">
                  <c:v>2011</c:v>
                </c:pt>
                <c:pt idx="50">
                  <c:v>2012</c:v>
                </c:pt>
                <c:pt idx="51">
                  <c:v>2013</c:v>
                </c:pt>
              </c:numCache>
            </c:numRef>
          </c:cat>
          <c:val>
            <c:numRef>
              <c:f>'[1]Avg Ret Age (2)'!$C$2:$C$53</c:f>
              <c:numCache>
                <c:formatCode>General</c:formatCode>
                <c:ptCount val="52"/>
                <c:pt idx="0">
                  <c:v>52.505747126436795</c:v>
                </c:pt>
                <c:pt idx="1">
                  <c:v>55.597402597402599</c:v>
                </c:pt>
                <c:pt idx="2">
                  <c:v>55.447928331466997</c:v>
                </c:pt>
                <c:pt idx="3">
                  <c:v>55.500719424460399</c:v>
                </c:pt>
                <c:pt idx="4">
                  <c:v>54.569411764705897</c:v>
                </c:pt>
                <c:pt idx="5">
                  <c:v>55.938931297709907</c:v>
                </c:pt>
                <c:pt idx="6">
                  <c:v>56.252873563218401</c:v>
                </c:pt>
                <c:pt idx="7">
                  <c:v>56.516504854368897</c:v>
                </c:pt>
                <c:pt idx="8">
                  <c:v>57.598382749326106</c:v>
                </c:pt>
                <c:pt idx="9">
                  <c:v>56.443661971831006</c:v>
                </c:pt>
                <c:pt idx="10">
                  <c:v>54.939622641509402</c:v>
                </c:pt>
                <c:pt idx="11">
                  <c:v>55.195121951219491</c:v>
                </c:pt>
                <c:pt idx="12">
                  <c:v>55.589285714285694</c:v>
                </c:pt>
                <c:pt idx="13">
                  <c:v>56.2781155015198</c:v>
                </c:pt>
                <c:pt idx="14">
                  <c:v>56.710691823899396</c:v>
                </c:pt>
                <c:pt idx="15">
                  <c:v>54.554455445544505</c:v>
                </c:pt>
                <c:pt idx="16">
                  <c:v>55.827759197324397</c:v>
                </c:pt>
                <c:pt idx="17">
                  <c:v>57.443686006825899</c:v>
                </c:pt>
                <c:pt idx="18">
                  <c:v>55.684647302904601</c:v>
                </c:pt>
                <c:pt idx="19">
                  <c:v>56.517117117117103</c:v>
                </c:pt>
                <c:pt idx="20">
                  <c:v>56.267175572519101</c:v>
                </c:pt>
                <c:pt idx="21">
                  <c:v>56.206489675516202</c:v>
                </c:pt>
                <c:pt idx="22">
                  <c:v>57.286538461538505</c:v>
                </c:pt>
                <c:pt idx="23">
                  <c:v>57.631790744466805</c:v>
                </c:pt>
                <c:pt idx="24">
                  <c:v>57.116279069767394</c:v>
                </c:pt>
                <c:pt idx="25">
                  <c:v>57.2098092643052</c:v>
                </c:pt>
                <c:pt idx="26">
                  <c:v>58.057877813504803</c:v>
                </c:pt>
                <c:pt idx="27">
                  <c:v>58.770161290322598</c:v>
                </c:pt>
                <c:pt idx="28">
                  <c:v>59.290531776913099</c:v>
                </c:pt>
                <c:pt idx="29">
                  <c:v>59.137005649717501</c:v>
                </c:pt>
                <c:pt idx="30">
                  <c:v>58.786231884058004</c:v>
                </c:pt>
                <c:pt idx="31">
                  <c:v>58.537914691943108</c:v>
                </c:pt>
                <c:pt idx="32">
                  <c:v>59.216148357207501</c:v>
                </c:pt>
                <c:pt idx="33">
                  <c:v>59.894382022471902</c:v>
                </c:pt>
                <c:pt idx="34">
                  <c:v>59.265306122449005</c:v>
                </c:pt>
                <c:pt idx="35">
                  <c:v>59.866873065015504</c:v>
                </c:pt>
                <c:pt idx="36">
                  <c:v>59.871794871794904</c:v>
                </c:pt>
                <c:pt idx="37">
                  <c:v>59.950266429840106</c:v>
                </c:pt>
                <c:pt idx="38">
                  <c:v>59.720876585928494</c:v>
                </c:pt>
                <c:pt idx="39">
                  <c:v>60.325051759834402</c:v>
                </c:pt>
                <c:pt idx="40">
                  <c:v>61.190432382704699</c:v>
                </c:pt>
                <c:pt idx="41">
                  <c:v>61.161380597014904</c:v>
                </c:pt>
                <c:pt idx="42">
                  <c:v>61.385120350109403</c:v>
                </c:pt>
                <c:pt idx="43">
                  <c:v>61.223804679552394</c:v>
                </c:pt>
                <c:pt idx="44">
                  <c:v>61.487376509330403</c:v>
                </c:pt>
                <c:pt idx="45">
                  <c:v>61.548387096774206</c:v>
                </c:pt>
                <c:pt idx="46">
                  <c:v>61.766666666666701</c:v>
                </c:pt>
                <c:pt idx="47">
                  <c:v>61.880222841225596</c:v>
                </c:pt>
                <c:pt idx="48">
                  <c:v>62.308163265306106</c:v>
                </c:pt>
                <c:pt idx="49">
                  <c:v>62.076923076923094</c:v>
                </c:pt>
                <c:pt idx="50">
                  <c:v>62.649635036496399</c:v>
                </c:pt>
                <c:pt idx="51">
                  <c:v>61.929362880886394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48288"/>
        <c:axId val="38349824"/>
      </c:lineChart>
      <c:catAx>
        <c:axId val="38348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00"/>
            </a:pPr>
            <a:endParaRPr lang="en-US"/>
          </a:p>
        </c:txPr>
        <c:crossAx val="38349824"/>
        <c:crosses val="autoZero"/>
        <c:auto val="1"/>
        <c:lblAlgn val="ctr"/>
        <c:lblOffset val="0"/>
        <c:tickLblSkip val="17"/>
        <c:tickMarkSkip val="6"/>
        <c:noMultiLvlLbl val="0"/>
      </c:catAx>
      <c:valAx>
        <c:axId val="38349824"/>
        <c:scaling>
          <c:orientation val="minMax"/>
          <c:max val="70"/>
          <c:min val="5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8348288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3605227339168267"/>
          <c:y val="0.63988281215940102"/>
          <c:w val="0.21459249953110282"/>
          <c:h val="0.19345294321098172"/>
        </c:manualLayout>
      </c:layout>
      <c:overlay val="1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 panose="02020603050405020304" pitchFamily="18" charset="0"/>
              <a:ea typeface="ScalaOT-Regular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2</xdr:row>
      <xdr:rowOff>38098</xdr:rowOff>
    </xdr:from>
    <xdr:to>
      <xdr:col>11</xdr:col>
      <xdr:colOff>333374</xdr:colOff>
      <xdr:row>20</xdr:row>
      <xdr:rowOff>63499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</xdr:row>
      <xdr:rowOff>171450</xdr:rowOff>
    </xdr:from>
    <xdr:to>
      <xdr:col>8</xdr:col>
      <xdr:colOff>9525</xdr:colOff>
      <xdr:row>19</xdr:row>
      <xdr:rowOff>133350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180975</xdr:rowOff>
    </xdr:from>
    <xdr:to>
      <xdr:col>7</xdr:col>
      <xdr:colOff>333375</xdr:colOff>
      <xdr:row>18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142875</xdr:rowOff>
    </xdr:from>
    <xdr:to>
      <xdr:col>7</xdr:col>
      <xdr:colOff>495300</xdr:colOff>
      <xdr:row>16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85725</xdr:rowOff>
    </xdr:from>
    <xdr:to>
      <xdr:col>7</xdr:col>
      <xdr:colOff>304800</xdr:colOff>
      <xdr:row>18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Boxes/Andy/Issue%20Briefs%20in%20Progress/Average%20Retirement%20Age/LFPR%20by%20Age%2005FEB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Boxes/Angie/Avg%20Ret%20Age/LFPR%20by%20Age%2005FEB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s"/>
      <sheetName val="2000s"/>
      <sheetName val="1990s"/>
      <sheetName val="1980s"/>
      <sheetName val="1970s"/>
      <sheetName val="1960s"/>
      <sheetName val="LogFile"/>
      <sheetName val="Males"/>
      <sheetName val="Females"/>
      <sheetName val="LFPR all Age (2)"/>
      <sheetName val="LFPR all Age"/>
      <sheetName val="Avg Ret Age (2)"/>
      <sheetName val="Avg Ret Age"/>
      <sheetName val="LFPR by Age group (2)"/>
      <sheetName val="LFPR by Age group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B1" t="str">
            <v>Men</v>
          </cell>
          <cell r="C1" t="str">
            <v>Women</v>
          </cell>
        </row>
        <row r="2">
          <cell r="A2">
            <v>1962</v>
          </cell>
          <cell r="B2">
            <v>65.559288537549392</v>
          </cell>
          <cell r="C2">
            <v>52.505747126436795</v>
          </cell>
        </row>
        <row r="3">
          <cell r="A3">
            <v>1963</v>
          </cell>
          <cell r="B3">
            <v>65.213465952563098</v>
          </cell>
          <cell r="C3">
            <v>55.597402597402599</v>
          </cell>
        </row>
        <row r="4">
          <cell r="A4">
            <v>1964</v>
          </cell>
          <cell r="B4">
            <v>65.576452599388404</v>
          </cell>
          <cell r="C4">
            <v>55.447928331466997</v>
          </cell>
        </row>
        <row r="5">
          <cell r="A5">
            <v>1965</v>
          </cell>
          <cell r="B5">
            <v>65.588952654232401</v>
          </cell>
          <cell r="C5">
            <v>55.500719424460399</v>
          </cell>
        </row>
        <row r="6">
          <cell r="A6">
            <v>1966</v>
          </cell>
          <cell r="B6">
            <v>65.556983718937403</v>
          </cell>
          <cell r="C6">
            <v>54.569411764705897</v>
          </cell>
        </row>
        <row r="7">
          <cell r="A7">
            <v>1967</v>
          </cell>
          <cell r="B7">
            <v>65.558550968828996</v>
          </cell>
          <cell r="C7">
            <v>55.938931297709907</v>
          </cell>
        </row>
        <row r="8">
          <cell r="A8">
            <v>1968</v>
          </cell>
          <cell r="B8">
            <v>65.582407407407402</v>
          </cell>
          <cell r="C8">
            <v>56.252873563218401</v>
          </cell>
        </row>
        <row r="9">
          <cell r="A9">
            <v>1969</v>
          </cell>
          <cell r="B9">
            <v>65.567944250871108</v>
          </cell>
          <cell r="C9">
            <v>56.516504854368897</v>
          </cell>
        </row>
        <row r="10">
          <cell r="A10">
            <v>1970</v>
          </cell>
          <cell r="B10">
            <v>65.3890784982935</v>
          </cell>
          <cell r="C10">
            <v>57.598382749326106</v>
          </cell>
        </row>
        <row r="11">
          <cell r="A11">
            <v>1971</v>
          </cell>
          <cell r="B11">
            <v>64.723821187997601</v>
          </cell>
          <cell r="C11">
            <v>56.443661971831006</v>
          </cell>
        </row>
        <row r="12">
          <cell r="A12">
            <v>1972</v>
          </cell>
          <cell r="B12">
            <v>64.656026417171191</v>
          </cell>
          <cell r="C12">
            <v>54.939622641509402</v>
          </cell>
        </row>
        <row r="13">
          <cell r="A13">
            <v>1973</v>
          </cell>
          <cell r="B13">
            <v>64.592570401437996</v>
          </cell>
          <cell r="C13">
            <v>55.195121951219491</v>
          </cell>
        </row>
        <row r="14">
          <cell r="A14">
            <v>1974</v>
          </cell>
          <cell r="B14">
            <v>64.467312348668301</v>
          </cell>
          <cell r="C14">
            <v>55.589285714285694</v>
          </cell>
        </row>
        <row r="15">
          <cell r="A15">
            <v>1975</v>
          </cell>
          <cell r="B15">
            <v>64.2873263888889</v>
          </cell>
          <cell r="C15">
            <v>56.2781155015198</v>
          </cell>
        </row>
        <row r="16">
          <cell r="A16">
            <v>1976</v>
          </cell>
          <cell r="B16">
            <v>63.762812872467201</v>
          </cell>
          <cell r="C16">
            <v>56.710691823899396</v>
          </cell>
        </row>
        <row r="17">
          <cell r="A17">
            <v>1977</v>
          </cell>
          <cell r="B17">
            <v>64.176336226587509</v>
          </cell>
          <cell r="C17">
            <v>54.554455445544505</v>
          </cell>
        </row>
        <row r="18">
          <cell r="A18">
            <v>1978</v>
          </cell>
          <cell r="B18">
            <v>63.222811671087499</v>
          </cell>
          <cell r="C18">
            <v>55.827759197324397</v>
          </cell>
        </row>
        <row r="19">
          <cell r="A19">
            <v>1979</v>
          </cell>
          <cell r="B19">
            <v>64.011371237458206</v>
          </cell>
          <cell r="C19">
            <v>57.443686006825899</v>
          </cell>
        </row>
        <row r="20">
          <cell r="A20">
            <v>1980</v>
          </cell>
          <cell r="B20">
            <v>64.110665137614703</v>
          </cell>
          <cell r="C20">
            <v>55.684647302904601</v>
          </cell>
        </row>
        <row r="21">
          <cell r="A21">
            <v>1981</v>
          </cell>
          <cell r="B21">
            <v>63.169201520912502</v>
          </cell>
          <cell r="C21">
            <v>56.517117117117103</v>
          </cell>
        </row>
        <row r="22">
          <cell r="A22">
            <v>1982</v>
          </cell>
          <cell r="B22">
            <v>62.27</v>
          </cell>
          <cell r="C22">
            <v>56.267175572519101</v>
          </cell>
        </row>
        <row r="23">
          <cell r="A23">
            <v>1983</v>
          </cell>
          <cell r="B23">
            <v>62.676089517078907</v>
          </cell>
          <cell r="C23">
            <v>56.206489675516202</v>
          </cell>
        </row>
        <row r="24">
          <cell r="A24">
            <v>1984</v>
          </cell>
          <cell r="B24">
            <v>62.729064039408897</v>
          </cell>
          <cell r="C24">
            <v>57.286538461538505</v>
          </cell>
        </row>
        <row r="25">
          <cell r="A25">
            <v>1985</v>
          </cell>
          <cell r="B25">
            <v>61.964332036316506</v>
          </cell>
          <cell r="C25">
            <v>57.631790744466805</v>
          </cell>
        </row>
        <row r="26">
          <cell r="A26">
            <v>1986</v>
          </cell>
          <cell r="B26">
            <v>62.453294001966597</v>
          </cell>
          <cell r="C26">
            <v>57.116279069767394</v>
          </cell>
        </row>
        <row r="27">
          <cell r="A27">
            <v>1987</v>
          </cell>
          <cell r="B27">
            <v>62.585158150851605</v>
          </cell>
          <cell r="C27">
            <v>57.2098092643052</v>
          </cell>
        </row>
        <row r="28">
          <cell r="A28">
            <v>1988</v>
          </cell>
          <cell r="B28">
            <v>62.447368421052595</v>
          </cell>
          <cell r="C28">
            <v>58.057877813504803</v>
          </cell>
        </row>
        <row r="29">
          <cell r="A29">
            <v>1989</v>
          </cell>
          <cell r="B29">
            <v>62.327793167128398</v>
          </cell>
          <cell r="C29">
            <v>58.770161290322598</v>
          </cell>
        </row>
        <row r="30">
          <cell r="A30">
            <v>1990</v>
          </cell>
          <cell r="B30">
            <v>62.353535353535307</v>
          </cell>
          <cell r="C30">
            <v>59.290531776913099</v>
          </cell>
        </row>
        <row r="31">
          <cell r="A31">
            <v>1991</v>
          </cell>
          <cell r="B31">
            <v>61.884169884169907</v>
          </cell>
          <cell r="C31">
            <v>59.137005649717501</v>
          </cell>
        </row>
        <row r="32">
          <cell r="A32">
            <v>1992</v>
          </cell>
          <cell r="B32">
            <v>62.461055276381906</v>
          </cell>
          <cell r="C32">
            <v>58.786231884058004</v>
          </cell>
        </row>
        <row r="33">
          <cell r="A33">
            <v>1993</v>
          </cell>
          <cell r="B33">
            <v>62.446780551905398</v>
          </cell>
          <cell r="C33">
            <v>58.537914691943108</v>
          </cell>
        </row>
        <row r="34">
          <cell r="A34">
            <v>1994</v>
          </cell>
          <cell r="B34">
            <v>62.095420146964194</v>
          </cell>
          <cell r="C34">
            <v>59.216148357207501</v>
          </cell>
        </row>
        <row r="35">
          <cell r="A35">
            <v>1995</v>
          </cell>
          <cell r="B35">
            <v>61.744059742023104</v>
          </cell>
          <cell r="C35">
            <v>59.894382022471902</v>
          </cell>
        </row>
        <row r="36">
          <cell r="A36">
            <v>1996</v>
          </cell>
          <cell r="B36">
            <v>62.249077490774894</v>
          </cell>
          <cell r="C36">
            <v>59.265306122449005</v>
          </cell>
        </row>
        <row r="37">
          <cell r="A37">
            <v>1997</v>
          </cell>
          <cell r="B37">
            <v>62.467852257181903</v>
          </cell>
          <cell r="C37">
            <v>59.866873065015504</v>
          </cell>
        </row>
        <row r="38">
          <cell r="A38">
            <v>1998</v>
          </cell>
          <cell r="B38">
            <v>62.801968019680196</v>
          </cell>
          <cell r="C38">
            <v>59.871794871794904</v>
          </cell>
        </row>
        <row r="39">
          <cell r="A39">
            <v>1999</v>
          </cell>
          <cell r="B39">
            <v>62.4547677261614</v>
          </cell>
          <cell r="C39">
            <v>59.950266429840106</v>
          </cell>
        </row>
        <row r="40">
          <cell r="A40">
            <v>2000</v>
          </cell>
          <cell r="B40">
            <v>62.577424023154805</v>
          </cell>
          <cell r="C40">
            <v>59.720876585928494</v>
          </cell>
        </row>
        <row r="41">
          <cell r="A41">
            <v>2001</v>
          </cell>
          <cell r="B41">
            <v>62.596741344195493</v>
          </cell>
          <cell r="C41">
            <v>60.325051759834402</v>
          </cell>
        </row>
        <row r="42">
          <cell r="A42">
            <v>2002</v>
          </cell>
          <cell r="B42">
            <v>62.825105782792704</v>
          </cell>
          <cell r="C42">
            <v>61.190432382704699</v>
          </cell>
        </row>
        <row r="43">
          <cell r="A43">
            <v>2003</v>
          </cell>
          <cell r="B43">
            <v>62.650900900900893</v>
          </cell>
          <cell r="C43">
            <v>61.161380597014904</v>
          </cell>
        </row>
        <row r="44">
          <cell r="A44">
            <v>2004</v>
          </cell>
          <cell r="B44">
            <v>63.112079701120805</v>
          </cell>
          <cell r="C44">
            <v>61.385120350109403</v>
          </cell>
        </row>
        <row r="45">
          <cell r="A45">
            <v>2005</v>
          </cell>
          <cell r="B45">
            <v>62.896236012207495</v>
          </cell>
          <cell r="C45">
            <v>61.223804679552394</v>
          </cell>
        </row>
        <row r="46">
          <cell r="A46">
            <v>2006</v>
          </cell>
          <cell r="B46">
            <v>63.523758099352001</v>
          </cell>
          <cell r="C46">
            <v>61.487376509330403</v>
          </cell>
        </row>
        <row r="47">
          <cell r="A47">
            <v>2007</v>
          </cell>
          <cell r="B47">
            <v>62.941605839416106</v>
          </cell>
          <cell r="C47">
            <v>61.548387096774206</v>
          </cell>
        </row>
        <row r="48">
          <cell r="A48">
            <v>2008</v>
          </cell>
          <cell r="B48">
            <v>64.062807881773395</v>
          </cell>
          <cell r="C48">
            <v>61.766666666666701</v>
          </cell>
        </row>
        <row r="49">
          <cell r="A49">
            <v>2009</v>
          </cell>
          <cell r="B49">
            <v>64.128824476650607</v>
          </cell>
          <cell r="C49">
            <v>61.880222841225596</v>
          </cell>
        </row>
        <row r="50">
          <cell r="A50">
            <v>2010</v>
          </cell>
          <cell r="B50">
            <v>64.074041034790397</v>
          </cell>
          <cell r="C50">
            <v>62.308163265306106</v>
          </cell>
        </row>
        <row r="51">
          <cell r="A51">
            <v>2011</v>
          </cell>
          <cell r="B51">
            <v>63.660305343511503</v>
          </cell>
          <cell r="C51">
            <v>62.076923076923094</v>
          </cell>
        </row>
        <row r="52">
          <cell r="A52">
            <v>2012</v>
          </cell>
          <cell r="B52">
            <v>63.742616033755297</v>
          </cell>
          <cell r="C52">
            <v>62.649635036496399</v>
          </cell>
        </row>
        <row r="53">
          <cell r="A53">
            <v>2013</v>
          </cell>
          <cell r="B53">
            <v>63.921465968586396</v>
          </cell>
          <cell r="C53">
            <v>61.929362880886394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FPR all Ag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H12" sqref="H12"/>
    </sheetView>
  </sheetViews>
  <sheetFormatPr defaultColWidth="8.85546875" defaultRowHeight="15" x14ac:dyDescent="0.25"/>
  <cols>
    <col min="1" max="1" width="5.28515625" bestFit="1" customWidth="1"/>
    <col min="2" max="2" width="14" bestFit="1" customWidth="1"/>
    <col min="3" max="4" width="17.85546875" bestFit="1" customWidth="1"/>
    <col min="5" max="5" width="16" bestFit="1" customWidth="1"/>
    <col min="6" max="7" width="17.85546875" bestFit="1" customWidth="1"/>
    <col min="10" max="10" width="13.85546875" bestFit="1" customWidth="1"/>
    <col min="11" max="13" width="12.7109375" bestFit="1" customWidth="1"/>
  </cols>
  <sheetData>
    <row r="1" spans="1:13" ht="15" customHeight="1" x14ac:dyDescent="0.25">
      <c r="A1" s="26" t="s">
        <v>0</v>
      </c>
      <c r="B1" s="27"/>
      <c r="C1" s="27"/>
      <c r="D1" s="27"/>
      <c r="E1" s="27"/>
      <c r="F1" s="27"/>
      <c r="G1" s="28"/>
    </row>
    <row r="2" spans="1:13" x14ac:dyDescent="0.25">
      <c r="A2" s="29" t="s">
        <v>1</v>
      </c>
      <c r="B2" s="30"/>
      <c r="C2" s="35" t="s">
        <v>4</v>
      </c>
      <c r="D2" s="36"/>
      <c r="E2" s="36"/>
      <c r="F2" s="36"/>
      <c r="G2" s="37"/>
    </row>
    <row r="3" spans="1:13" ht="15" customHeight="1" x14ac:dyDescent="0.25">
      <c r="A3" s="31" t="s">
        <v>2</v>
      </c>
      <c r="B3" s="32"/>
      <c r="C3" s="38"/>
      <c r="D3" s="39"/>
      <c r="E3" s="39"/>
      <c r="F3" s="39"/>
      <c r="G3" s="40"/>
    </row>
    <row r="4" spans="1:13" x14ac:dyDescent="0.25">
      <c r="A4" s="31" t="s">
        <v>3</v>
      </c>
      <c r="B4" s="32"/>
      <c r="C4" s="1">
        <v>0</v>
      </c>
      <c r="D4" s="1">
        <v>1</v>
      </c>
      <c r="E4" s="1">
        <v>2</v>
      </c>
      <c r="F4" s="1">
        <v>3</v>
      </c>
      <c r="G4" s="3" t="s">
        <v>9</v>
      </c>
    </row>
    <row r="5" spans="1:13" x14ac:dyDescent="0.25">
      <c r="A5" s="33"/>
      <c r="B5" s="34"/>
      <c r="C5" s="2" t="s">
        <v>5</v>
      </c>
      <c r="D5" s="2" t="s">
        <v>6</v>
      </c>
      <c r="E5" s="2" t="s">
        <v>7</v>
      </c>
      <c r="F5" s="2" t="s">
        <v>8</v>
      </c>
      <c r="G5" s="4" t="s">
        <v>10</v>
      </c>
    </row>
    <row r="6" spans="1:13" x14ac:dyDescent="0.25">
      <c r="A6" s="23" t="s">
        <v>11</v>
      </c>
      <c r="B6" s="19" t="s">
        <v>12</v>
      </c>
      <c r="C6" s="5">
        <v>0</v>
      </c>
      <c r="D6" s="5">
        <v>1.5</v>
      </c>
      <c r="E6" s="5">
        <v>1</v>
      </c>
      <c r="F6" s="8">
        <v>3.3</v>
      </c>
      <c r="G6" s="10">
        <v>1.7</v>
      </c>
      <c r="I6" t="s">
        <v>36</v>
      </c>
    </row>
    <row r="7" spans="1:13" x14ac:dyDescent="0.25">
      <c r="A7" s="24"/>
      <c r="B7" s="20"/>
      <c r="C7" s="6">
        <v>0</v>
      </c>
      <c r="D7" s="7">
        <v>36820466</v>
      </c>
      <c r="E7" s="7">
        <v>1906939.3</v>
      </c>
      <c r="F7" s="9">
        <v>53522572.399999999</v>
      </c>
      <c r="G7" s="11">
        <v>92249977.599999994</v>
      </c>
      <c r="I7">
        <v>1910</v>
      </c>
      <c r="J7" s="14">
        <f>D7</f>
        <v>36820466</v>
      </c>
      <c r="K7" s="14">
        <f>E7</f>
        <v>1906939.3</v>
      </c>
      <c r="L7" s="14">
        <f t="shared" ref="L7" si="0">F7</f>
        <v>53522572.399999999</v>
      </c>
      <c r="M7" s="14">
        <f>SUM(J7:K7)/SUM(J7:L7)</f>
        <v>0.41980937302708965</v>
      </c>
    </row>
    <row r="8" spans="1:13" x14ac:dyDescent="0.25">
      <c r="A8" s="24"/>
      <c r="B8" s="19" t="s">
        <v>13</v>
      </c>
      <c r="C8" s="5">
        <v>0</v>
      </c>
      <c r="D8" s="5">
        <v>1.8</v>
      </c>
      <c r="E8" s="5">
        <v>2.2000000000000002</v>
      </c>
      <c r="F8" s="8">
        <v>4.5</v>
      </c>
      <c r="G8" s="10">
        <v>2.2000000000000002</v>
      </c>
      <c r="J8" s="14"/>
      <c r="K8" s="14"/>
      <c r="L8" s="14"/>
      <c r="M8" s="14"/>
    </row>
    <row r="9" spans="1:13" x14ac:dyDescent="0.25">
      <c r="A9" s="24"/>
      <c r="B9" s="20"/>
      <c r="C9" s="6">
        <v>0</v>
      </c>
      <c r="D9" s="7">
        <v>45274808</v>
      </c>
      <c r="E9" s="7">
        <v>4412050.0999999996</v>
      </c>
      <c r="F9" s="9">
        <v>73555982.700000003</v>
      </c>
      <c r="G9" s="11">
        <v>123242840.8</v>
      </c>
      <c r="I9">
        <v>1930</v>
      </c>
      <c r="J9" s="14">
        <f t="shared" ref="J9:J49" si="1">D9</f>
        <v>45274808</v>
      </c>
      <c r="K9" s="14">
        <f t="shared" ref="K9:K49" si="2">E9</f>
        <v>4412050.0999999996</v>
      </c>
      <c r="L9" s="14">
        <f t="shared" ref="L9:L49" si="3">F9</f>
        <v>73555982.700000003</v>
      </c>
      <c r="M9" s="14">
        <f t="shared" ref="M9:M49" si="4">SUM(J9:K9)/SUM(J9:L9)</f>
        <v>0.40316222652342493</v>
      </c>
    </row>
    <row r="10" spans="1:13" x14ac:dyDescent="0.25">
      <c r="A10" s="24"/>
      <c r="B10" s="19" t="s">
        <v>14</v>
      </c>
      <c r="C10" s="8">
        <v>2.5</v>
      </c>
      <c r="D10" s="5">
        <v>1.9</v>
      </c>
      <c r="E10" s="8">
        <v>2.5</v>
      </c>
      <c r="F10" s="8">
        <v>2.9</v>
      </c>
      <c r="G10" s="10">
        <v>2.4</v>
      </c>
      <c r="J10" s="14"/>
      <c r="K10" s="14"/>
      <c r="L10" s="14"/>
      <c r="M10" s="14"/>
    </row>
    <row r="11" spans="1:13" x14ac:dyDescent="0.25">
      <c r="A11" s="24"/>
      <c r="B11" s="20"/>
      <c r="C11" s="9">
        <v>30345952</v>
      </c>
      <c r="D11" s="7">
        <v>47714138</v>
      </c>
      <c r="E11" s="9">
        <v>5064385</v>
      </c>
      <c r="F11" s="9">
        <v>47219001</v>
      </c>
      <c r="G11" s="11">
        <v>130343476</v>
      </c>
      <c r="I11">
        <v>1940</v>
      </c>
      <c r="J11" s="14">
        <f t="shared" si="1"/>
        <v>47714138</v>
      </c>
      <c r="K11" s="14">
        <f t="shared" si="2"/>
        <v>5064385</v>
      </c>
      <c r="L11" s="14">
        <f t="shared" si="3"/>
        <v>47219001</v>
      </c>
      <c r="M11" s="14">
        <f t="shared" si="4"/>
        <v>0.52779829828586555</v>
      </c>
    </row>
    <row r="12" spans="1:13" x14ac:dyDescent="0.25">
      <c r="A12" s="24"/>
      <c r="B12" s="19" t="s">
        <v>15</v>
      </c>
      <c r="C12" s="8">
        <v>3.2</v>
      </c>
      <c r="D12" s="5">
        <v>2.4</v>
      </c>
      <c r="E12" s="5">
        <v>1.2</v>
      </c>
      <c r="F12" s="8">
        <v>3.2</v>
      </c>
      <c r="G12" s="10">
        <v>2.8</v>
      </c>
      <c r="J12" s="14"/>
      <c r="K12" s="14"/>
      <c r="L12" s="14"/>
      <c r="M12" s="14"/>
    </row>
    <row r="13" spans="1:13" x14ac:dyDescent="0.25">
      <c r="A13" s="24"/>
      <c r="B13" s="20"/>
      <c r="C13" s="9">
        <v>38550733</v>
      </c>
      <c r="D13" s="7">
        <v>58934882</v>
      </c>
      <c r="E13" s="7">
        <v>2387683</v>
      </c>
      <c r="F13" s="9">
        <v>52332671</v>
      </c>
      <c r="G13" s="11">
        <v>152205969</v>
      </c>
      <c r="I13">
        <v>1950</v>
      </c>
      <c r="J13" s="14">
        <f t="shared" si="1"/>
        <v>58934882</v>
      </c>
      <c r="K13" s="14">
        <f t="shared" si="2"/>
        <v>2387683</v>
      </c>
      <c r="L13" s="14">
        <f t="shared" si="3"/>
        <v>52332671</v>
      </c>
      <c r="M13" s="14">
        <f t="shared" si="4"/>
        <v>0.53954896543437736</v>
      </c>
    </row>
    <row r="14" spans="1:13" x14ac:dyDescent="0.25">
      <c r="A14" s="24"/>
      <c r="B14" s="19" t="s">
        <v>16</v>
      </c>
      <c r="C14" s="8">
        <v>4.5</v>
      </c>
      <c r="D14" s="5">
        <v>2.7</v>
      </c>
      <c r="E14" s="5">
        <v>1.8</v>
      </c>
      <c r="F14" s="8">
        <v>3.5</v>
      </c>
      <c r="G14" s="10">
        <v>3.3</v>
      </c>
      <c r="J14" s="14"/>
      <c r="K14" s="14"/>
      <c r="L14" s="14"/>
      <c r="M14" s="14"/>
    </row>
    <row r="15" spans="1:13" x14ac:dyDescent="0.25">
      <c r="A15" s="24"/>
      <c r="B15" s="20"/>
      <c r="C15" s="9">
        <v>53420500</v>
      </c>
      <c r="D15" s="7">
        <v>66195938</v>
      </c>
      <c r="E15" s="7">
        <v>3499162</v>
      </c>
      <c r="F15" s="9">
        <v>56177132</v>
      </c>
      <c r="G15" s="11">
        <v>179292732</v>
      </c>
      <c r="I15">
        <v>1960</v>
      </c>
      <c r="J15" s="14">
        <f t="shared" si="1"/>
        <v>66195938</v>
      </c>
      <c r="K15" s="14">
        <f t="shared" si="2"/>
        <v>3499162</v>
      </c>
      <c r="L15" s="14">
        <f t="shared" si="3"/>
        <v>56177132</v>
      </c>
      <c r="M15" s="14">
        <f t="shared" si="4"/>
        <v>0.55369718080473862</v>
      </c>
    </row>
    <row r="16" spans="1:13" x14ac:dyDescent="0.25">
      <c r="A16" s="24"/>
      <c r="B16" s="19" t="s">
        <v>17</v>
      </c>
      <c r="C16" s="8">
        <v>4.5</v>
      </c>
      <c r="D16" s="5">
        <v>3.2</v>
      </c>
      <c r="E16" s="5">
        <v>1.8</v>
      </c>
      <c r="F16" s="8">
        <v>4.0999999999999996</v>
      </c>
      <c r="G16" s="10">
        <v>3.7</v>
      </c>
      <c r="J16" s="14"/>
      <c r="K16" s="14"/>
      <c r="L16" s="14"/>
      <c r="M16" s="14"/>
    </row>
    <row r="17" spans="1:13" x14ac:dyDescent="0.25">
      <c r="A17" s="24"/>
      <c r="B17" s="20"/>
      <c r="C17" s="9">
        <v>54392700</v>
      </c>
      <c r="D17" s="7">
        <v>78702300</v>
      </c>
      <c r="E17" s="7">
        <v>3529400</v>
      </c>
      <c r="F17" s="9">
        <v>66342200</v>
      </c>
      <c r="G17" s="11">
        <v>202966600</v>
      </c>
      <c r="I17">
        <v>1970</v>
      </c>
      <c r="J17" s="14">
        <f t="shared" si="1"/>
        <v>78702300</v>
      </c>
      <c r="K17" s="14">
        <f t="shared" si="2"/>
        <v>3529400</v>
      </c>
      <c r="L17" s="14">
        <f t="shared" si="3"/>
        <v>66342200</v>
      </c>
      <c r="M17" s="14">
        <f t="shared" si="4"/>
        <v>0.55347338933688894</v>
      </c>
    </row>
    <row r="18" spans="1:13" x14ac:dyDescent="0.25">
      <c r="A18" s="24"/>
      <c r="B18" s="19" t="s">
        <v>18</v>
      </c>
      <c r="C18" s="8">
        <v>4.7</v>
      </c>
      <c r="D18" s="5">
        <v>4</v>
      </c>
      <c r="E18" s="5">
        <v>3.4</v>
      </c>
      <c r="F18" s="5">
        <v>4</v>
      </c>
      <c r="G18" s="10">
        <v>4.0999999999999996</v>
      </c>
      <c r="J18" s="14"/>
      <c r="K18" s="14"/>
      <c r="L18" s="14"/>
      <c r="M18" s="14"/>
    </row>
    <row r="19" spans="1:13" x14ac:dyDescent="0.25">
      <c r="A19" s="24"/>
      <c r="B19" s="20"/>
      <c r="C19" s="9">
        <v>55960700</v>
      </c>
      <c r="D19" s="7">
        <v>99002400</v>
      </c>
      <c r="E19" s="7">
        <v>6751100</v>
      </c>
      <c r="F19" s="7">
        <v>65017800</v>
      </c>
      <c r="G19" s="11">
        <v>226732000</v>
      </c>
      <c r="I19">
        <f>I17+10</f>
        <v>1980</v>
      </c>
      <c r="J19" s="14">
        <f t="shared" si="1"/>
        <v>99002400</v>
      </c>
      <c r="K19" s="14">
        <f t="shared" si="2"/>
        <v>6751100</v>
      </c>
      <c r="L19" s="14">
        <f t="shared" si="3"/>
        <v>65017800</v>
      </c>
      <c r="M19" s="14">
        <f t="shared" si="4"/>
        <v>0.61926974848818273</v>
      </c>
    </row>
    <row r="20" spans="1:13" x14ac:dyDescent="0.25">
      <c r="A20" s="24"/>
      <c r="B20" s="19" t="s">
        <v>19</v>
      </c>
      <c r="C20" s="8">
        <v>4.7</v>
      </c>
      <c r="D20" s="8">
        <v>4.7</v>
      </c>
      <c r="E20" s="5">
        <v>3.9</v>
      </c>
      <c r="F20" s="5">
        <v>4.0999999999999996</v>
      </c>
      <c r="G20" s="10">
        <v>4.5</v>
      </c>
      <c r="J20" s="14"/>
      <c r="K20" s="14"/>
      <c r="L20" s="14"/>
      <c r="M20" s="14"/>
    </row>
    <row r="21" spans="1:13" x14ac:dyDescent="0.25">
      <c r="A21" s="24"/>
      <c r="B21" s="20"/>
      <c r="C21" s="9">
        <v>56699132</v>
      </c>
      <c r="D21" s="9">
        <v>117021242</v>
      </c>
      <c r="E21" s="7">
        <v>7751261</v>
      </c>
      <c r="F21" s="7">
        <v>66652383</v>
      </c>
      <c r="G21" s="11">
        <v>248124018</v>
      </c>
      <c r="I21">
        <f t="shared" ref="I21:I23" si="5">I19+10</f>
        <v>1990</v>
      </c>
      <c r="J21" s="14">
        <f t="shared" si="1"/>
        <v>117021242</v>
      </c>
      <c r="K21" s="14">
        <f t="shared" si="2"/>
        <v>7751261</v>
      </c>
      <c r="L21" s="14">
        <f t="shared" si="3"/>
        <v>66652383</v>
      </c>
      <c r="M21" s="14">
        <f t="shared" si="4"/>
        <v>0.65180920624918126</v>
      </c>
    </row>
    <row r="22" spans="1:13" x14ac:dyDescent="0.25">
      <c r="A22" s="24"/>
      <c r="B22" s="19" t="s">
        <v>20</v>
      </c>
      <c r="C22" s="8">
        <v>5.4</v>
      </c>
      <c r="D22" s="8">
        <v>5.2</v>
      </c>
      <c r="E22" s="5">
        <v>4</v>
      </c>
      <c r="F22" s="5">
        <v>4.8</v>
      </c>
      <c r="G22" s="10">
        <v>5.0999999999999996</v>
      </c>
      <c r="J22" s="14"/>
      <c r="K22" s="14"/>
      <c r="L22" s="14"/>
      <c r="M22" s="14"/>
    </row>
    <row r="23" spans="1:13" x14ac:dyDescent="0.25">
      <c r="A23" s="24"/>
      <c r="B23" s="20"/>
      <c r="C23" s="9">
        <v>64287527</v>
      </c>
      <c r="D23" s="9">
        <v>130847526</v>
      </c>
      <c r="E23" s="7">
        <v>7906852</v>
      </c>
      <c r="F23" s="7">
        <v>78380001</v>
      </c>
      <c r="G23" s="11">
        <v>281421906</v>
      </c>
      <c r="I23">
        <f t="shared" si="5"/>
        <v>2000</v>
      </c>
      <c r="J23" s="14">
        <f t="shared" si="1"/>
        <v>130847526</v>
      </c>
      <c r="K23" s="14">
        <f t="shared" si="2"/>
        <v>7906852</v>
      </c>
      <c r="L23" s="14">
        <f t="shared" si="3"/>
        <v>78380001</v>
      </c>
      <c r="M23" s="14">
        <f t="shared" si="4"/>
        <v>0.63902537515719704</v>
      </c>
    </row>
    <row r="24" spans="1:13" x14ac:dyDescent="0.25">
      <c r="A24" s="24"/>
      <c r="B24" s="19" t="s">
        <v>21</v>
      </c>
      <c r="C24" s="8">
        <v>5.4</v>
      </c>
      <c r="D24" s="8">
        <v>5.3</v>
      </c>
      <c r="E24" s="5">
        <v>4.3</v>
      </c>
      <c r="F24" s="5">
        <v>4.5</v>
      </c>
      <c r="G24" s="10">
        <v>5</v>
      </c>
      <c r="J24" s="14"/>
      <c r="K24" s="14"/>
      <c r="L24" s="14"/>
      <c r="M24" s="14"/>
    </row>
    <row r="25" spans="1:13" x14ac:dyDescent="0.25">
      <c r="A25" s="24"/>
      <c r="B25" s="20"/>
      <c r="C25" s="9">
        <v>64282892</v>
      </c>
      <c r="D25" s="9">
        <v>131992344</v>
      </c>
      <c r="E25" s="7">
        <v>8611196</v>
      </c>
      <c r="F25" s="7">
        <v>72189360</v>
      </c>
      <c r="G25" s="11">
        <v>277075792</v>
      </c>
      <c r="I25">
        <f>I23+1</f>
        <v>2001</v>
      </c>
      <c r="J25" s="14">
        <f t="shared" si="1"/>
        <v>131992344</v>
      </c>
      <c r="K25" s="14">
        <f t="shared" si="2"/>
        <v>8611196</v>
      </c>
      <c r="L25" s="14">
        <f t="shared" si="3"/>
        <v>72189360</v>
      </c>
      <c r="M25" s="14">
        <f t="shared" si="4"/>
        <v>0.66075296685180751</v>
      </c>
    </row>
    <row r="26" spans="1:13" x14ac:dyDescent="0.25">
      <c r="A26" s="24"/>
      <c r="B26" s="19" t="s">
        <v>22</v>
      </c>
      <c r="C26" s="8">
        <v>5.4</v>
      </c>
      <c r="D26" s="8">
        <v>5.3</v>
      </c>
      <c r="E26" s="8">
        <v>5.3</v>
      </c>
      <c r="F26" s="5">
        <v>4.5</v>
      </c>
      <c r="G26" s="10">
        <v>5.0999999999999996</v>
      </c>
      <c r="J26" s="14"/>
      <c r="K26" s="14"/>
      <c r="L26" s="14"/>
      <c r="M26" s="14"/>
    </row>
    <row r="27" spans="1:13" x14ac:dyDescent="0.25">
      <c r="A27" s="24"/>
      <c r="B27" s="20"/>
      <c r="C27" s="9">
        <v>64614683</v>
      </c>
      <c r="D27" s="9">
        <v>132493544</v>
      </c>
      <c r="E27" s="9">
        <v>10568199</v>
      </c>
      <c r="F27" s="7">
        <v>73040944</v>
      </c>
      <c r="G27" s="11">
        <v>280717370</v>
      </c>
      <c r="I27">
        <f>I25+1</f>
        <v>2002</v>
      </c>
      <c r="J27" s="14">
        <f t="shared" si="1"/>
        <v>132493544</v>
      </c>
      <c r="K27" s="14">
        <f t="shared" si="2"/>
        <v>10568199</v>
      </c>
      <c r="L27" s="14">
        <f t="shared" si="3"/>
        <v>73040944</v>
      </c>
      <c r="M27" s="14">
        <f t="shared" si="4"/>
        <v>0.66200816373930604</v>
      </c>
    </row>
    <row r="28" spans="1:13" x14ac:dyDescent="0.25">
      <c r="A28" s="24"/>
      <c r="B28" s="19" t="s">
        <v>23</v>
      </c>
      <c r="C28" s="8">
        <v>5.4</v>
      </c>
      <c r="D28" s="8">
        <v>5.3</v>
      </c>
      <c r="E28" s="8">
        <v>5.5</v>
      </c>
      <c r="F28" s="5">
        <v>4.5999999999999996</v>
      </c>
      <c r="G28" s="10">
        <v>5.0999999999999996</v>
      </c>
      <c r="J28" s="14"/>
      <c r="K28" s="14"/>
      <c r="L28" s="14"/>
      <c r="M28" s="14"/>
    </row>
    <row r="29" spans="1:13" x14ac:dyDescent="0.25">
      <c r="A29" s="24"/>
      <c r="B29" s="20"/>
      <c r="C29" s="9">
        <v>64772203</v>
      </c>
      <c r="D29" s="9">
        <v>133098069</v>
      </c>
      <c r="E29" s="9">
        <v>10941172</v>
      </c>
      <c r="F29" s="7">
        <v>74239935</v>
      </c>
      <c r="G29" s="11">
        <v>283051379</v>
      </c>
      <c r="I29">
        <f>I27+1</f>
        <v>2003</v>
      </c>
      <c r="J29" s="14">
        <f t="shared" si="1"/>
        <v>133098069</v>
      </c>
      <c r="K29" s="14">
        <f t="shared" si="2"/>
        <v>10941172</v>
      </c>
      <c r="L29" s="14">
        <f t="shared" si="3"/>
        <v>74239935</v>
      </c>
      <c r="M29" s="14">
        <f t="shared" si="4"/>
        <v>0.65988539832127646</v>
      </c>
    </row>
    <row r="30" spans="1:13" x14ac:dyDescent="0.25">
      <c r="A30" s="24"/>
      <c r="B30" s="19" t="s">
        <v>24</v>
      </c>
      <c r="C30" s="8">
        <v>5.4</v>
      </c>
      <c r="D30" s="8">
        <v>5.4</v>
      </c>
      <c r="E30" s="8">
        <v>5.2</v>
      </c>
      <c r="F30" s="5">
        <v>4.7</v>
      </c>
      <c r="G30" s="10">
        <v>5.2</v>
      </c>
      <c r="J30" s="14"/>
      <c r="K30" s="14"/>
      <c r="L30" s="14"/>
      <c r="M30" s="14"/>
    </row>
    <row r="31" spans="1:13" x14ac:dyDescent="0.25">
      <c r="A31" s="24"/>
      <c r="B31" s="20"/>
      <c r="C31" s="9">
        <v>64853992</v>
      </c>
      <c r="D31" s="9">
        <v>134988361</v>
      </c>
      <c r="E31" s="9">
        <v>10477220</v>
      </c>
      <c r="F31" s="7">
        <v>75355420</v>
      </c>
      <c r="G31" s="11">
        <v>285674993</v>
      </c>
      <c r="I31">
        <f>I29+1</f>
        <v>2004</v>
      </c>
      <c r="J31" s="14">
        <f t="shared" si="1"/>
        <v>134988361</v>
      </c>
      <c r="K31" s="14">
        <f t="shared" si="2"/>
        <v>10477220</v>
      </c>
      <c r="L31" s="14">
        <f t="shared" si="3"/>
        <v>75355420</v>
      </c>
      <c r="M31" s="14">
        <f t="shared" si="4"/>
        <v>0.65874885242459347</v>
      </c>
    </row>
    <row r="32" spans="1:13" x14ac:dyDescent="0.25">
      <c r="A32" s="24"/>
      <c r="B32" s="19" t="s">
        <v>25</v>
      </c>
      <c r="C32" s="8">
        <v>5.4</v>
      </c>
      <c r="D32" s="8">
        <v>5.5</v>
      </c>
      <c r="E32" s="5">
        <v>5.0999999999999996</v>
      </c>
      <c r="F32" s="5">
        <v>4.7</v>
      </c>
      <c r="G32" s="10">
        <v>5.2</v>
      </c>
      <c r="J32" s="14"/>
      <c r="K32" s="14"/>
      <c r="L32" s="14"/>
      <c r="M32" s="14"/>
    </row>
    <row r="33" spans="1:13" x14ac:dyDescent="0.25">
      <c r="A33" s="24"/>
      <c r="B33" s="20"/>
      <c r="C33" s="9">
        <v>64870509</v>
      </c>
      <c r="D33" s="9">
        <v>137147492</v>
      </c>
      <c r="E33" s="7">
        <v>10131186</v>
      </c>
      <c r="F33" s="7">
        <v>76249632</v>
      </c>
      <c r="G33" s="11">
        <v>288398819</v>
      </c>
      <c r="I33">
        <f>I31+1</f>
        <v>2005</v>
      </c>
      <c r="J33" s="14">
        <f t="shared" si="1"/>
        <v>137147492</v>
      </c>
      <c r="K33" s="14">
        <f t="shared" si="2"/>
        <v>10131186</v>
      </c>
      <c r="L33" s="14">
        <f t="shared" si="3"/>
        <v>76249632</v>
      </c>
      <c r="M33" s="14">
        <f t="shared" si="4"/>
        <v>0.65888154390824138</v>
      </c>
    </row>
    <row r="34" spans="1:13" x14ac:dyDescent="0.25">
      <c r="A34" s="24"/>
      <c r="B34" s="19" t="s">
        <v>26</v>
      </c>
      <c r="C34" s="12">
        <v>5.4</v>
      </c>
      <c r="D34" s="8">
        <v>5.7</v>
      </c>
      <c r="E34" s="5">
        <v>4.8</v>
      </c>
      <c r="F34" s="5">
        <v>5.0999999999999996</v>
      </c>
      <c r="G34" s="10">
        <v>5.4</v>
      </c>
      <c r="J34" s="14"/>
      <c r="K34" s="14"/>
      <c r="L34" s="14"/>
      <c r="M34" s="14"/>
    </row>
    <row r="35" spans="1:13" x14ac:dyDescent="0.25">
      <c r="A35" s="24"/>
      <c r="B35" s="20"/>
      <c r="C35" s="13">
        <v>65172598</v>
      </c>
      <c r="D35" s="9">
        <v>142545193</v>
      </c>
      <c r="E35" s="7">
        <v>9671239</v>
      </c>
      <c r="F35" s="7">
        <v>82009455</v>
      </c>
      <c r="G35" s="11">
        <v>299398485</v>
      </c>
      <c r="I35">
        <f>I33+1</f>
        <v>2006</v>
      </c>
      <c r="J35" s="14">
        <f t="shared" si="1"/>
        <v>142545193</v>
      </c>
      <c r="K35" s="14">
        <f t="shared" si="2"/>
        <v>9671239</v>
      </c>
      <c r="L35" s="14">
        <f t="shared" si="3"/>
        <v>82009455</v>
      </c>
      <c r="M35" s="14">
        <f t="shared" si="4"/>
        <v>0.64987023402754795</v>
      </c>
    </row>
    <row r="36" spans="1:13" x14ac:dyDescent="0.25">
      <c r="A36" s="24"/>
      <c r="B36" s="19" t="s">
        <v>27</v>
      </c>
      <c r="C36" s="5">
        <v>5.4</v>
      </c>
      <c r="D36" s="8">
        <v>5.8</v>
      </c>
      <c r="E36" s="5">
        <v>4.8</v>
      </c>
      <c r="F36" s="5">
        <v>5.0999999999999996</v>
      </c>
      <c r="G36" s="10">
        <v>5.5</v>
      </c>
      <c r="J36" s="14"/>
      <c r="K36" s="14"/>
      <c r="L36" s="14"/>
      <c r="M36" s="14"/>
    </row>
    <row r="37" spans="1:13" x14ac:dyDescent="0.25">
      <c r="A37" s="24"/>
      <c r="B37" s="20"/>
      <c r="C37" s="7">
        <v>65195780</v>
      </c>
      <c r="D37" s="9">
        <v>143630939</v>
      </c>
      <c r="E37" s="7">
        <v>9624062</v>
      </c>
      <c r="F37" s="7">
        <v>83170378</v>
      </c>
      <c r="G37" s="11">
        <v>301621159</v>
      </c>
      <c r="I37">
        <f>I35+1</f>
        <v>2007</v>
      </c>
      <c r="J37" s="14">
        <f t="shared" si="1"/>
        <v>143630939</v>
      </c>
      <c r="K37" s="14">
        <f t="shared" si="2"/>
        <v>9624062</v>
      </c>
      <c r="L37" s="14">
        <f t="shared" si="3"/>
        <v>83170378</v>
      </c>
      <c r="M37" s="14">
        <f t="shared" si="4"/>
        <v>0.64821721613905081</v>
      </c>
    </row>
    <row r="38" spans="1:13" x14ac:dyDescent="0.25">
      <c r="A38" s="24"/>
      <c r="B38" s="19" t="s">
        <v>28</v>
      </c>
      <c r="C38" s="5">
        <v>5.4</v>
      </c>
      <c r="D38" s="8">
        <v>5.9</v>
      </c>
      <c r="E38" s="5">
        <v>5</v>
      </c>
      <c r="F38" s="5">
        <v>5</v>
      </c>
      <c r="G38" s="10">
        <v>5.5</v>
      </c>
      <c r="J38" s="14"/>
      <c r="K38" s="14"/>
      <c r="L38" s="14"/>
      <c r="M38" s="14"/>
    </row>
    <row r="39" spans="1:13" x14ac:dyDescent="0.25">
      <c r="A39" s="24"/>
      <c r="B39" s="20"/>
      <c r="C39" s="7">
        <v>65239022</v>
      </c>
      <c r="D39" s="9">
        <v>147486711</v>
      </c>
      <c r="E39" s="7">
        <v>9984405</v>
      </c>
      <c r="F39" s="7">
        <v>81349590</v>
      </c>
      <c r="G39" s="11">
        <v>304059728</v>
      </c>
      <c r="I39">
        <f>I37+1</f>
        <v>2008</v>
      </c>
      <c r="J39" s="14">
        <f t="shared" si="1"/>
        <v>147486711</v>
      </c>
      <c r="K39" s="14">
        <f t="shared" si="2"/>
        <v>9984405</v>
      </c>
      <c r="L39" s="14">
        <f t="shared" si="3"/>
        <v>81349590</v>
      </c>
      <c r="M39" s="14">
        <f t="shared" si="4"/>
        <v>0.65936961094152369</v>
      </c>
    </row>
    <row r="40" spans="1:13" x14ac:dyDescent="0.25">
      <c r="A40" s="24"/>
      <c r="B40" s="19" t="s">
        <v>29</v>
      </c>
      <c r="C40" s="5">
        <v>5.5</v>
      </c>
      <c r="D40" s="8">
        <v>5.7</v>
      </c>
      <c r="E40" s="8">
        <v>7.7</v>
      </c>
      <c r="F40" s="5">
        <v>5.2</v>
      </c>
      <c r="G40" s="10">
        <v>5.6</v>
      </c>
      <c r="J40" s="14"/>
      <c r="K40" s="14"/>
      <c r="L40" s="14"/>
      <c r="M40" s="14"/>
    </row>
    <row r="41" spans="1:13" x14ac:dyDescent="0.25">
      <c r="A41" s="24"/>
      <c r="B41" s="20"/>
      <c r="C41" s="7">
        <v>65986725</v>
      </c>
      <c r="D41" s="9">
        <v>141943601</v>
      </c>
      <c r="E41" s="9">
        <v>15476450</v>
      </c>
      <c r="F41" s="7">
        <v>83599780</v>
      </c>
      <c r="G41" s="11">
        <v>307006556</v>
      </c>
      <c r="I41">
        <f>I39+1</f>
        <v>2009</v>
      </c>
      <c r="J41" s="14">
        <f t="shared" si="1"/>
        <v>141943601</v>
      </c>
      <c r="K41" s="14">
        <f t="shared" si="2"/>
        <v>15476450</v>
      </c>
      <c r="L41" s="14">
        <f t="shared" si="3"/>
        <v>83599780</v>
      </c>
      <c r="M41" s="14">
        <f t="shared" si="4"/>
        <v>0.65314148776413339</v>
      </c>
    </row>
    <row r="42" spans="1:13" x14ac:dyDescent="0.25">
      <c r="A42" s="24"/>
      <c r="B42" s="19" t="s">
        <v>30</v>
      </c>
      <c r="C42" s="5">
        <v>5.5</v>
      </c>
      <c r="D42" s="12">
        <v>5.6</v>
      </c>
      <c r="E42" s="8">
        <v>8.4</v>
      </c>
      <c r="F42" s="5">
        <v>5.4</v>
      </c>
      <c r="G42" s="10">
        <v>5.6</v>
      </c>
      <c r="J42" s="14"/>
      <c r="K42" s="14"/>
      <c r="L42" s="14"/>
      <c r="M42" s="14"/>
    </row>
    <row r="43" spans="1:13" x14ac:dyDescent="0.25">
      <c r="A43" s="24"/>
      <c r="B43" s="20"/>
      <c r="C43" s="7">
        <v>65503515</v>
      </c>
      <c r="D43" s="13">
        <v>140161827</v>
      </c>
      <c r="E43" s="9">
        <v>16870279</v>
      </c>
      <c r="F43" s="7">
        <v>86814068</v>
      </c>
      <c r="G43" s="11">
        <v>309349689</v>
      </c>
      <c r="I43">
        <f>I41+1</f>
        <v>2010</v>
      </c>
      <c r="J43" s="14">
        <f t="shared" si="1"/>
        <v>140161827</v>
      </c>
      <c r="K43" s="14">
        <f t="shared" si="2"/>
        <v>16870279</v>
      </c>
      <c r="L43" s="14">
        <f t="shared" si="3"/>
        <v>86814068</v>
      </c>
      <c r="M43" s="14">
        <f t="shared" si="4"/>
        <v>0.64398019220100622</v>
      </c>
    </row>
    <row r="44" spans="1:13" x14ac:dyDescent="0.25">
      <c r="A44" s="24"/>
      <c r="B44" s="19" t="s">
        <v>31</v>
      </c>
      <c r="C44" s="5">
        <v>5.4</v>
      </c>
      <c r="D44" s="8">
        <v>5.7</v>
      </c>
      <c r="E44" s="8">
        <v>8</v>
      </c>
      <c r="F44" s="5">
        <v>5.5</v>
      </c>
      <c r="G44" s="10">
        <v>5.7</v>
      </c>
      <c r="J44" s="14"/>
      <c r="K44" s="14"/>
      <c r="L44" s="14"/>
      <c r="M44" s="14"/>
    </row>
    <row r="45" spans="1:13" x14ac:dyDescent="0.25">
      <c r="A45" s="24"/>
      <c r="B45" s="20"/>
      <c r="C45" s="7">
        <v>65353976</v>
      </c>
      <c r="D45" s="9">
        <v>141478171</v>
      </c>
      <c r="E45" s="9">
        <v>16036795</v>
      </c>
      <c r="F45" s="7">
        <v>88722977</v>
      </c>
      <c r="G45" s="11">
        <v>311591919</v>
      </c>
      <c r="I45">
        <f>I43+1</f>
        <v>2011</v>
      </c>
      <c r="J45" s="14">
        <f t="shared" si="1"/>
        <v>141478171</v>
      </c>
      <c r="K45" s="14">
        <f t="shared" si="2"/>
        <v>16036795</v>
      </c>
      <c r="L45" s="14">
        <f t="shared" si="3"/>
        <v>88722977</v>
      </c>
      <c r="M45" s="14">
        <f t="shared" si="4"/>
        <v>0.63968600484938265</v>
      </c>
    </row>
    <row r="46" spans="1:13" x14ac:dyDescent="0.25">
      <c r="A46" s="24"/>
      <c r="B46" s="19" t="s">
        <v>32</v>
      </c>
      <c r="C46" s="5">
        <v>5.4</v>
      </c>
      <c r="D46" s="8">
        <v>5.8</v>
      </c>
      <c r="E46" s="8">
        <v>7.4</v>
      </c>
      <c r="F46" s="5">
        <v>5.6</v>
      </c>
      <c r="G46" s="10">
        <v>5.7</v>
      </c>
      <c r="J46" s="14"/>
      <c r="K46" s="14"/>
      <c r="L46" s="14"/>
      <c r="M46" s="14"/>
    </row>
    <row r="47" spans="1:13" x14ac:dyDescent="0.25">
      <c r="A47" s="24"/>
      <c r="B47" s="20"/>
      <c r="C47" s="7">
        <v>65284542</v>
      </c>
      <c r="D47" s="9">
        <v>144068092</v>
      </c>
      <c r="E47" s="9">
        <v>14812145</v>
      </c>
      <c r="F47" s="7">
        <v>89749261</v>
      </c>
      <c r="G47" s="11">
        <v>313914040</v>
      </c>
      <c r="I47">
        <f>I45+1</f>
        <v>2012</v>
      </c>
      <c r="J47" s="14">
        <f t="shared" si="1"/>
        <v>144068092</v>
      </c>
      <c r="K47" s="14">
        <f t="shared" si="2"/>
        <v>14812145</v>
      </c>
      <c r="L47" s="14">
        <f t="shared" si="3"/>
        <v>89749261</v>
      </c>
      <c r="M47" s="14">
        <f t="shared" si="4"/>
        <v>0.63902408313594394</v>
      </c>
    </row>
    <row r="48" spans="1:13" x14ac:dyDescent="0.25">
      <c r="A48" s="24"/>
      <c r="B48" s="19" t="s">
        <v>33</v>
      </c>
      <c r="C48" s="5">
        <v>5.4</v>
      </c>
      <c r="D48" s="8">
        <v>5.9</v>
      </c>
      <c r="E48" s="8">
        <v>6.7</v>
      </c>
      <c r="F48" s="5">
        <v>5.6</v>
      </c>
      <c r="G48" s="10">
        <v>5.7</v>
      </c>
      <c r="J48" s="14"/>
      <c r="K48" s="14"/>
      <c r="L48" s="14"/>
      <c r="M48" s="14"/>
    </row>
    <row r="49" spans="1:13" x14ac:dyDescent="0.25">
      <c r="A49" s="24"/>
      <c r="B49" s="20"/>
      <c r="C49" s="7">
        <v>65218861</v>
      </c>
      <c r="D49" s="9">
        <v>146224090</v>
      </c>
      <c r="E49" s="9">
        <v>13364805</v>
      </c>
      <c r="F49" s="7">
        <v>91321083</v>
      </c>
      <c r="G49" s="11">
        <v>316128839</v>
      </c>
      <c r="I49">
        <f>I47+1</f>
        <v>2013</v>
      </c>
      <c r="J49" s="14">
        <f t="shared" si="1"/>
        <v>146224090</v>
      </c>
      <c r="K49" s="14">
        <f t="shared" si="2"/>
        <v>13364805</v>
      </c>
      <c r="L49" s="14">
        <f t="shared" si="3"/>
        <v>91321083</v>
      </c>
      <c r="M49" s="14">
        <f t="shared" si="4"/>
        <v>0.63604044873815258</v>
      </c>
    </row>
    <row r="50" spans="1:13" x14ac:dyDescent="0.25">
      <c r="A50" s="24"/>
      <c r="B50" s="21" t="s">
        <v>34</v>
      </c>
      <c r="C50" s="10">
        <v>100</v>
      </c>
      <c r="D50" s="10">
        <v>100</v>
      </c>
      <c r="E50" s="10">
        <v>100</v>
      </c>
      <c r="F50" s="10">
        <v>100</v>
      </c>
      <c r="G50" s="10">
        <v>100</v>
      </c>
    </row>
    <row r="51" spans="1:13" x14ac:dyDescent="0.25">
      <c r="A51" s="25"/>
      <c r="B51" s="22"/>
      <c r="C51" s="11">
        <v>1200006542</v>
      </c>
      <c r="D51" s="11">
        <v>2497772134</v>
      </c>
      <c r="E51" s="11">
        <v>199777985.40000001</v>
      </c>
      <c r="F51" s="11">
        <v>1617011626.0999999</v>
      </c>
      <c r="G51" s="11">
        <v>5514568287.3999996</v>
      </c>
    </row>
  </sheetData>
  <mergeCells count="30">
    <mergeCell ref="A1:G1"/>
    <mergeCell ref="A2:B2"/>
    <mergeCell ref="A3:B3"/>
    <mergeCell ref="A4:B4"/>
    <mergeCell ref="A5:B5"/>
    <mergeCell ref="C2:G3"/>
    <mergeCell ref="B34:B35"/>
    <mergeCell ref="A6:A51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48:B49"/>
    <mergeCell ref="B50:B51"/>
    <mergeCell ref="B36:B37"/>
    <mergeCell ref="B38:B39"/>
    <mergeCell ref="B40:B41"/>
    <mergeCell ref="B42:B43"/>
    <mergeCell ref="B44:B45"/>
    <mergeCell ref="B46:B47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E24"/>
  <sheetViews>
    <sheetView tabSelected="1" workbookViewId="0">
      <selection activeCell="G38" sqref="G38"/>
    </sheetView>
  </sheetViews>
  <sheetFormatPr defaultColWidth="8.85546875" defaultRowHeight="15" x14ac:dyDescent="0.25"/>
  <cols>
    <col min="1" max="1" width="8.85546875" style="15"/>
    <col min="2" max="3" width="9.42578125" style="15" bestFit="1" customWidth="1"/>
    <col min="4" max="16384" width="8.85546875" style="15"/>
  </cols>
  <sheetData>
    <row r="1" spans="1:5" x14ac:dyDescent="0.25">
      <c r="A1" s="15" t="s">
        <v>40</v>
      </c>
      <c r="B1" s="15" t="s">
        <v>36</v>
      </c>
      <c r="C1" s="15" t="s">
        <v>35</v>
      </c>
    </row>
    <row r="2" spans="1:5" x14ac:dyDescent="0.25">
      <c r="E2" s="15" t="s">
        <v>39</v>
      </c>
    </row>
    <row r="3" spans="1:5" x14ac:dyDescent="0.25">
      <c r="A3" s="15">
        <v>1880</v>
      </c>
      <c r="B3" s="17">
        <v>0.93596822472744601</v>
      </c>
      <c r="C3" s="18">
        <v>0.75585717181784773</v>
      </c>
    </row>
    <row r="4" spans="1:5" x14ac:dyDescent="0.25">
      <c r="A4" s="15">
        <v>1900</v>
      </c>
      <c r="B4" s="17">
        <v>0.90374226182500006</v>
      </c>
      <c r="C4" s="18">
        <v>0.70712476638363297</v>
      </c>
    </row>
    <row r="5" spans="1:5" x14ac:dyDescent="0.25">
      <c r="A5" s="15">
        <v>1910</v>
      </c>
      <c r="B5" s="17">
        <v>0.89806337128272906</v>
      </c>
      <c r="C5" s="18">
        <v>0.58842734246818318</v>
      </c>
    </row>
    <row r="6" spans="1:5" x14ac:dyDescent="0.25">
      <c r="A6" s="15">
        <v>1920</v>
      </c>
      <c r="B6" s="17">
        <v>0.89409962546734312</v>
      </c>
      <c r="C6" s="18">
        <v>0.5989953234837575</v>
      </c>
    </row>
    <row r="7" spans="1:5" x14ac:dyDescent="0.25">
      <c r="A7" s="15">
        <v>1930</v>
      </c>
      <c r="B7" s="17">
        <v>0.89753663639919445</v>
      </c>
      <c r="C7" s="17">
        <v>0.58099454726979494</v>
      </c>
    </row>
    <row r="8" spans="1:5" x14ac:dyDescent="0.25">
      <c r="A8" s="15">
        <v>1940</v>
      </c>
      <c r="B8" s="17">
        <v>0.84624818757133424</v>
      </c>
      <c r="C8" s="17">
        <v>0.42906890360569994</v>
      </c>
    </row>
    <row r="9" spans="1:5" x14ac:dyDescent="0.25">
      <c r="A9" s="15">
        <v>1950</v>
      </c>
      <c r="B9" s="17">
        <v>0.83847669316673923</v>
      </c>
      <c r="C9" s="17">
        <v>0.41862530000313819</v>
      </c>
    </row>
    <row r="10" spans="1:5" x14ac:dyDescent="0.25">
      <c r="A10" s="15">
        <v>1960</v>
      </c>
      <c r="B10" s="17">
        <v>0.83144641651686702</v>
      </c>
      <c r="C10" s="17">
        <v>0.30922581249911862</v>
      </c>
    </row>
    <row r="11" spans="1:5" x14ac:dyDescent="0.25">
      <c r="A11" s="15">
        <v>1970</v>
      </c>
      <c r="B11" s="17">
        <v>0.80533789838920933</v>
      </c>
      <c r="C11" s="17">
        <v>0.24601316066786877</v>
      </c>
    </row>
    <row r="12" spans="1:5" x14ac:dyDescent="0.25">
      <c r="A12" s="15">
        <f>A11+10</f>
        <v>1980</v>
      </c>
      <c r="B12" s="17">
        <v>0.7124496809032892</v>
      </c>
      <c r="C12" s="17">
        <v>0.19253257845673288</v>
      </c>
    </row>
    <row r="13" spans="1:5" x14ac:dyDescent="0.25">
      <c r="A13" s="15">
        <f>A12+10</f>
        <v>1990</v>
      </c>
      <c r="B13" s="17">
        <v>0.6684749498995981</v>
      </c>
      <c r="C13" s="17">
        <v>0.17630635612576942</v>
      </c>
    </row>
    <row r="14" spans="1:5" x14ac:dyDescent="0.25">
      <c r="A14" s="15">
        <f t="shared" ref="A14" si="0">A13+10</f>
        <v>2000</v>
      </c>
      <c r="B14" s="17">
        <v>0.65661702792370424</v>
      </c>
      <c r="C14" s="17">
        <v>0.18524929210727664</v>
      </c>
    </row>
    <row r="15" spans="1:5" x14ac:dyDescent="0.25">
      <c r="A15" s="15">
        <f>A14+10</f>
        <v>2010</v>
      </c>
      <c r="B15" s="17">
        <v>0.69317469044371993</v>
      </c>
      <c r="C15" s="17">
        <v>0.20789429254093089</v>
      </c>
    </row>
    <row r="16" spans="1:5" x14ac:dyDescent="0.25">
      <c r="A16" s="15">
        <v>2013</v>
      </c>
      <c r="B16" s="17">
        <v>0.69320247428533532</v>
      </c>
      <c r="C16" s="17">
        <v>0.21545058657487889</v>
      </c>
    </row>
    <row r="17" spans="3:5" x14ac:dyDescent="0.25">
      <c r="C17" s="16"/>
    </row>
    <row r="19" spans="3:5" x14ac:dyDescent="0.25">
      <c r="C19" s="16"/>
    </row>
    <row r="20" spans="3:5" x14ac:dyDescent="0.25">
      <c r="C20" s="16"/>
      <c r="E20" s="15" t="s">
        <v>37</v>
      </c>
    </row>
    <row r="21" spans="3:5" x14ac:dyDescent="0.25">
      <c r="C21" s="16"/>
    </row>
    <row r="22" spans="3:5" x14ac:dyDescent="0.25">
      <c r="C22" s="16"/>
      <c r="E22" s="15" t="s">
        <v>48</v>
      </c>
    </row>
    <row r="23" spans="3:5" x14ac:dyDescent="0.25">
      <c r="C23" s="16"/>
      <c r="E23" s="15" t="s">
        <v>47</v>
      </c>
    </row>
    <row r="24" spans="3:5" x14ac:dyDescent="0.25">
      <c r="E24" s="45" t="s">
        <v>46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U33"/>
  <sheetViews>
    <sheetView workbookViewId="0">
      <selection activeCell="I38" sqref="I38"/>
    </sheetView>
  </sheetViews>
  <sheetFormatPr defaultRowHeight="15" x14ac:dyDescent="0.25"/>
  <cols>
    <col min="1" max="16384" width="9.140625" style="15"/>
  </cols>
  <sheetData>
    <row r="1" spans="1:21" x14ac:dyDescent="0.25">
      <c r="O1" s="15" t="s">
        <v>42</v>
      </c>
    </row>
    <row r="2" spans="1:21" x14ac:dyDescent="0.25">
      <c r="A2" s="15" t="s">
        <v>49</v>
      </c>
      <c r="O2" s="15" t="s">
        <v>38</v>
      </c>
      <c r="P2" s="15">
        <v>1963</v>
      </c>
      <c r="Q2" s="15">
        <v>1973</v>
      </c>
      <c r="R2" s="15">
        <v>1983</v>
      </c>
      <c r="S2" s="15">
        <v>1993</v>
      </c>
      <c r="T2" s="15">
        <v>2003</v>
      </c>
      <c r="U2" s="15">
        <v>2013</v>
      </c>
    </row>
    <row r="3" spans="1:21" x14ac:dyDescent="0.25">
      <c r="O3" s="15">
        <v>50</v>
      </c>
      <c r="P3" s="46">
        <v>95.11</v>
      </c>
      <c r="Q3" s="46">
        <v>93.55</v>
      </c>
      <c r="R3" s="46">
        <v>92.320000000000007</v>
      </c>
      <c r="S3" s="46">
        <v>88.52</v>
      </c>
      <c r="T3" s="46">
        <v>86.13</v>
      </c>
      <c r="U3" s="46">
        <v>83.66</v>
      </c>
    </row>
    <row r="4" spans="1:21" x14ac:dyDescent="0.25">
      <c r="O4" s="15">
        <v>51</v>
      </c>
      <c r="P4" s="46">
        <v>94</v>
      </c>
      <c r="Q4" s="46">
        <v>92</v>
      </c>
      <c r="R4" s="46">
        <v>89</v>
      </c>
      <c r="S4" s="46">
        <v>87</v>
      </c>
      <c r="T4" s="46">
        <v>87</v>
      </c>
      <c r="U4" s="46">
        <v>84</v>
      </c>
    </row>
    <row r="5" spans="1:21" x14ac:dyDescent="0.25">
      <c r="O5" s="15">
        <v>52</v>
      </c>
      <c r="P5" s="46">
        <v>95</v>
      </c>
      <c r="Q5" s="46">
        <v>93</v>
      </c>
      <c r="R5" s="46">
        <v>86</v>
      </c>
      <c r="S5" s="46">
        <v>87</v>
      </c>
      <c r="T5" s="46">
        <v>84</v>
      </c>
      <c r="U5" s="46">
        <v>83</v>
      </c>
    </row>
    <row r="6" spans="1:21" x14ac:dyDescent="0.25">
      <c r="O6" s="15">
        <v>53</v>
      </c>
      <c r="P6" s="46">
        <v>95</v>
      </c>
      <c r="Q6" s="46">
        <v>91</v>
      </c>
      <c r="R6" s="46">
        <v>87</v>
      </c>
      <c r="S6" s="46">
        <v>87</v>
      </c>
      <c r="T6" s="46">
        <v>83</v>
      </c>
      <c r="U6" s="46">
        <v>82</v>
      </c>
    </row>
    <row r="7" spans="1:21" x14ac:dyDescent="0.25">
      <c r="O7" s="15">
        <v>54</v>
      </c>
      <c r="P7" s="46">
        <v>95</v>
      </c>
      <c r="Q7" s="46">
        <v>90</v>
      </c>
      <c r="R7" s="46">
        <v>87</v>
      </c>
      <c r="S7" s="46">
        <v>85</v>
      </c>
      <c r="T7" s="46">
        <v>82</v>
      </c>
      <c r="U7" s="46">
        <v>82</v>
      </c>
    </row>
    <row r="8" spans="1:21" x14ac:dyDescent="0.25">
      <c r="O8" s="15">
        <v>55</v>
      </c>
      <c r="P8" s="46">
        <v>93</v>
      </c>
      <c r="Q8" s="46">
        <v>92</v>
      </c>
      <c r="R8" s="46">
        <v>82</v>
      </c>
      <c r="S8" s="46">
        <v>82</v>
      </c>
      <c r="T8" s="46">
        <v>82</v>
      </c>
      <c r="U8" s="46">
        <v>81</v>
      </c>
    </row>
    <row r="9" spans="1:21" x14ac:dyDescent="0.25">
      <c r="O9" s="15">
        <v>56</v>
      </c>
      <c r="P9" s="46">
        <v>92</v>
      </c>
      <c r="Q9" s="46">
        <v>89</v>
      </c>
      <c r="R9" s="46">
        <v>83</v>
      </c>
      <c r="S9" s="46">
        <v>82</v>
      </c>
      <c r="T9" s="46">
        <v>81</v>
      </c>
      <c r="U9" s="46">
        <v>78</v>
      </c>
    </row>
    <row r="10" spans="1:21" x14ac:dyDescent="0.25">
      <c r="O10" s="15">
        <v>57</v>
      </c>
      <c r="P10" s="46">
        <v>90</v>
      </c>
      <c r="Q10" s="46">
        <v>87</v>
      </c>
      <c r="R10" s="46">
        <v>81</v>
      </c>
      <c r="S10" s="46">
        <v>79</v>
      </c>
      <c r="T10" s="46">
        <v>78</v>
      </c>
      <c r="U10" s="46">
        <v>76</v>
      </c>
    </row>
    <row r="11" spans="1:21" x14ac:dyDescent="0.25">
      <c r="O11" s="15">
        <v>58</v>
      </c>
      <c r="P11" s="46">
        <v>90</v>
      </c>
      <c r="Q11" s="46">
        <v>86</v>
      </c>
      <c r="R11" s="46">
        <v>78</v>
      </c>
      <c r="S11" s="46">
        <v>76</v>
      </c>
      <c r="T11" s="46">
        <v>79</v>
      </c>
      <c r="U11" s="46">
        <v>76</v>
      </c>
    </row>
    <row r="12" spans="1:21" x14ac:dyDescent="0.25">
      <c r="O12" s="15">
        <v>59</v>
      </c>
      <c r="P12" s="46">
        <v>91</v>
      </c>
      <c r="Q12" s="46">
        <v>85</v>
      </c>
      <c r="R12" s="46">
        <v>74</v>
      </c>
      <c r="S12" s="46">
        <v>72</v>
      </c>
      <c r="T12" s="46">
        <v>74</v>
      </c>
      <c r="U12" s="46">
        <v>74</v>
      </c>
    </row>
    <row r="13" spans="1:21" x14ac:dyDescent="0.25">
      <c r="O13" s="15">
        <v>60</v>
      </c>
      <c r="P13" s="46">
        <v>86</v>
      </c>
      <c r="Q13" s="46">
        <v>81</v>
      </c>
      <c r="R13" s="46">
        <v>68</v>
      </c>
      <c r="S13" s="46">
        <v>70</v>
      </c>
      <c r="T13" s="46">
        <v>69</v>
      </c>
      <c r="U13" s="46">
        <v>72</v>
      </c>
    </row>
    <row r="14" spans="1:21" x14ac:dyDescent="0.25">
      <c r="O14" s="15">
        <v>61</v>
      </c>
      <c r="P14" s="46">
        <v>85</v>
      </c>
      <c r="Q14" s="46">
        <v>80</v>
      </c>
      <c r="R14" s="46">
        <v>64</v>
      </c>
      <c r="S14" s="46">
        <v>63</v>
      </c>
      <c r="T14" s="46">
        <v>64</v>
      </c>
      <c r="U14" s="46">
        <v>63</v>
      </c>
    </row>
    <row r="15" spans="1:21" x14ac:dyDescent="0.25">
      <c r="O15" s="15">
        <v>62</v>
      </c>
      <c r="P15" s="46">
        <v>73</v>
      </c>
      <c r="Q15" s="46">
        <v>72</v>
      </c>
      <c r="R15" s="46">
        <v>51</v>
      </c>
      <c r="S15" s="46">
        <v>50</v>
      </c>
      <c r="T15" s="46">
        <v>55.000000000000007</v>
      </c>
      <c r="U15" s="46">
        <v>62</v>
      </c>
    </row>
    <row r="16" spans="1:21" x14ac:dyDescent="0.25">
      <c r="O16" s="15">
        <v>63</v>
      </c>
      <c r="P16" s="46">
        <v>73</v>
      </c>
      <c r="Q16" s="46">
        <v>68</v>
      </c>
      <c r="R16" s="46">
        <v>49</v>
      </c>
      <c r="S16" s="46">
        <v>45</v>
      </c>
      <c r="T16" s="46">
        <v>51</v>
      </c>
      <c r="U16" s="46">
        <v>56.999999999999993</v>
      </c>
    </row>
    <row r="17" spans="1:21" x14ac:dyDescent="0.25">
      <c r="O17" s="15">
        <v>64</v>
      </c>
      <c r="P17" s="46">
        <v>72</v>
      </c>
      <c r="Q17" s="46">
        <v>62</v>
      </c>
      <c r="R17" s="46">
        <v>42</v>
      </c>
      <c r="S17" s="46">
        <v>41</v>
      </c>
      <c r="T17" s="46">
        <v>43</v>
      </c>
      <c r="U17" s="46">
        <v>49</v>
      </c>
    </row>
    <row r="18" spans="1:21" x14ac:dyDescent="0.25">
      <c r="O18" s="15">
        <v>65</v>
      </c>
      <c r="P18" s="46">
        <v>57.999999999999993</v>
      </c>
      <c r="Q18" s="46">
        <v>44</v>
      </c>
      <c r="R18" s="46">
        <v>31</v>
      </c>
      <c r="S18" s="46">
        <v>32</v>
      </c>
      <c r="T18" s="46">
        <v>38</v>
      </c>
      <c r="U18" s="46">
        <v>43</v>
      </c>
    </row>
    <row r="19" spans="1:21" x14ac:dyDescent="0.25">
      <c r="O19" s="15">
        <v>66</v>
      </c>
      <c r="P19" s="46">
        <v>44</v>
      </c>
      <c r="Q19" s="46">
        <v>35</v>
      </c>
      <c r="R19" s="46">
        <v>26</v>
      </c>
      <c r="S19" s="46">
        <v>31</v>
      </c>
      <c r="T19" s="46">
        <v>34</v>
      </c>
      <c r="U19" s="46">
        <v>41</v>
      </c>
    </row>
    <row r="20" spans="1:21" x14ac:dyDescent="0.25">
      <c r="O20" s="15">
        <v>67</v>
      </c>
      <c r="P20" s="46">
        <v>35</v>
      </c>
      <c r="Q20" s="46">
        <v>38</v>
      </c>
      <c r="R20" s="46">
        <v>26</v>
      </c>
      <c r="S20" s="46">
        <v>25</v>
      </c>
      <c r="T20" s="46">
        <v>31</v>
      </c>
      <c r="U20" s="46">
        <v>35</v>
      </c>
    </row>
    <row r="21" spans="1:21" x14ac:dyDescent="0.25">
      <c r="A21" s="15" t="s">
        <v>50</v>
      </c>
      <c r="O21" s="15">
        <v>68</v>
      </c>
      <c r="P21" s="46">
        <v>34</v>
      </c>
      <c r="Q21" s="46">
        <v>34</v>
      </c>
      <c r="R21" s="46">
        <v>17</v>
      </c>
      <c r="S21" s="46">
        <v>22</v>
      </c>
      <c r="T21" s="46">
        <v>31</v>
      </c>
      <c r="U21" s="46">
        <v>30</v>
      </c>
    </row>
    <row r="22" spans="1:21" x14ac:dyDescent="0.25">
      <c r="A22" s="45" t="s">
        <v>46</v>
      </c>
      <c r="O22" s="15">
        <v>69</v>
      </c>
      <c r="P22" s="46">
        <v>31</v>
      </c>
      <c r="Q22" s="46">
        <v>28.999999999999996</v>
      </c>
      <c r="R22" s="46">
        <v>24</v>
      </c>
      <c r="S22" s="46">
        <v>20</v>
      </c>
      <c r="T22" s="46">
        <v>27</v>
      </c>
      <c r="U22" s="46">
        <v>34</v>
      </c>
    </row>
    <row r="23" spans="1:21" x14ac:dyDescent="0.25">
      <c r="O23" s="15">
        <v>70</v>
      </c>
      <c r="P23" s="46">
        <v>26</v>
      </c>
      <c r="Q23" s="46">
        <v>26</v>
      </c>
      <c r="R23" s="46">
        <v>15</v>
      </c>
      <c r="S23" s="46">
        <v>18</v>
      </c>
      <c r="T23" s="46">
        <v>24</v>
      </c>
      <c r="U23" s="46">
        <v>27</v>
      </c>
    </row>
    <row r="24" spans="1:21" x14ac:dyDescent="0.25">
      <c r="O24" s="15">
        <v>71</v>
      </c>
      <c r="P24" s="46">
        <v>31</v>
      </c>
      <c r="Q24" s="46">
        <v>27</v>
      </c>
      <c r="R24" s="46">
        <v>15</v>
      </c>
      <c r="S24" s="46">
        <v>18</v>
      </c>
      <c r="T24" s="46">
        <v>23</v>
      </c>
      <c r="U24" s="46">
        <v>23</v>
      </c>
    </row>
    <row r="25" spans="1:21" x14ac:dyDescent="0.25">
      <c r="O25" s="15">
        <v>72</v>
      </c>
      <c r="P25" s="46">
        <v>23</v>
      </c>
      <c r="Q25" s="46">
        <v>22</v>
      </c>
      <c r="R25" s="46">
        <v>16</v>
      </c>
      <c r="S25" s="46">
        <v>15</v>
      </c>
      <c r="T25" s="46">
        <v>23</v>
      </c>
      <c r="U25" s="46">
        <v>23</v>
      </c>
    </row>
    <row r="26" spans="1:21" x14ac:dyDescent="0.25">
      <c r="O26" s="15">
        <v>73</v>
      </c>
      <c r="P26" s="46">
        <v>32</v>
      </c>
      <c r="Q26" s="46">
        <v>25</v>
      </c>
      <c r="R26" s="46">
        <v>11</v>
      </c>
      <c r="S26" s="46">
        <v>16</v>
      </c>
      <c r="T26" s="46">
        <v>16</v>
      </c>
      <c r="U26" s="46">
        <v>17</v>
      </c>
    </row>
    <row r="27" spans="1:21" x14ac:dyDescent="0.25">
      <c r="O27" s="15">
        <v>74</v>
      </c>
      <c r="P27" s="46">
        <v>21</v>
      </c>
      <c r="Q27" s="46">
        <v>20</v>
      </c>
      <c r="R27" s="46">
        <v>20</v>
      </c>
      <c r="S27" s="46">
        <v>11</v>
      </c>
      <c r="T27" s="46">
        <v>15</v>
      </c>
      <c r="U27" s="46">
        <v>22</v>
      </c>
    </row>
    <row r="28" spans="1:21" x14ac:dyDescent="0.25">
      <c r="O28" s="15">
        <v>75</v>
      </c>
      <c r="P28" s="46">
        <v>21</v>
      </c>
      <c r="Q28" s="46">
        <v>20</v>
      </c>
      <c r="R28" s="46">
        <v>16</v>
      </c>
      <c r="S28" s="46">
        <v>12</v>
      </c>
      <c r="T28" s="46">
        <v>15</v>
      </c>
      <c r="U28" s="46">
        <v>18</v>
      </c>
    </row>
    <row r="29" spans="1:21" x14ac:dyDescent="0.25">
      <c r="O29" s="15">
        <v>76</v>
      </c>
      <c r="P29" s="46">
        <v>22</v>
      </c>
      <c r="Q29" s="46">
        <v>13</v>
      </c>
      <c r="R29" s="46">
        <v>9</v>
      </c>
      <c r="S29" s="46">
        <v>11</v>
      </c>
      <c r="T29" s="46">
        <v>11</v>
      </c>
      <c r="U29" s="46">
        <v>14.000000000000002</v>
      </c>
    </row>
    <row r="30" spans="1:21" x14ac:dyDescent="0.25">
      <c r="O30" s="15">
        <v>77</v>
      </c>
      <c r="P30" s="46">
        <v>11</v>
      </c>
      <c r="Q30" s="46">
        <v>20</v>
      </c>
      <c r="R30" s="46">
        <v>8</v>
      </c>
      <c r="S30" s="46">
        <v>9</v>
      </c>
      <c r="T30" s="46">
        <v>10</v>
      </c>
      <c r="U30" s="46">
        <v>14.000000000000002</v>
      </c>
    </row>
    <row r="31" spans="1:21" x14ac:dyDescent="0.25">
      <c r="O31" s="15">
        <v>78</v>
      </c>
      <c r="P31" s="46">
        <v>21</v>
      </c>
      <c r="Q31" s="46">
        <v>19</v>
      </c>
      <c r="R31" s="46">
        <v>12</v>
      </c>
      <c r="S31" s="46">
        <v>8</v>
      </c>
      <c r="T31" s="46">
        <v>14.000000000000002</v>
      </c>
      <c r="U31" s="46">
        <v>10</v>
      </c>
    </row>
    <row r="32" spans="1:21" x14ac:dyDescent="0.25">
      <c r="O32" s="15">
        <v>79</v>
      </c>
      <c r="P32" s="46">
        <v>17</v>
      </c>
      <c r="Q32" s="46">
        <v>11</v>
      </c>
      <c r="R32" s="46">
        <v>8</v>
      </c>
      <c r="S32" s="46">
        <v>10</v>
      </c>
      <c r="T32" s="46">
        <v>10</v>
      </c>
      <c r="U32" s="46">
        <v>19</v>
      </c>
    </row>
    <row r="33" spans="15:21" x14ac:dyDescent="0.25">
      <c r="O33" s="15">
        <v>80</v>
      </c>
      <c r="P33" s="46">
        <v>8</v>
      </c>
      <c r="Q33" s="46">
        <v>9</v>
      </c>
      <c r="R33" s="46">
        <v>7.0000000000000009</v>
      </c>
      <c r="S33" s="46">
        <v>5</v>
      </c>
      <c r="T33" s="46">
        <v>7.0000000000000009</v>
      </c>
      <c r="U33" s="46">
        <v>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Q36"/>
  <sheetViews>
    <sheetView workbookViewId="0">
      <selection activeCell="F26" sqref="F26"/>
    </sheetView>
  </sheetViews>
  <sheetFormatPr defaultRowHeight="15" x14ac:dyDescent="0.25"/>
  <cols>
    <col min="1" max="16384" width="9.140625" style="15"/>
  </cols>
  <sheetData>
    <row r="1" spans="1:17" x14ac:dyDescent="0.25">
      <c r="A1" s="15" t="s">
        <v>51</v>
      </c>
    </row>
    <row r="4" spans="1:17" x14ac:dyDescent="0.25">
      <c r="K4" s="15" t="s">
        <v>43</v>
      </c>
    </row>
    <row r="5" spans="1:17" x14ac:dyDescent="0.25">
      <c r="K5" s="15" t="s">
        <v>38</v>
      </c>
      <c r="L5" s="15">
        <v>1963</v>
      </c>
      <c r="M5" s="15">
        <v>1973</v>
      </c>
      <c r="N5" s="15">
        <v>1983</v>
      </c>
      <c r="O5" s="15">
        <v>1993</v>
      </c>
      <c r="P5" s="15">
        <v>2003</v>
      </c>
      <c r="Q5" s="15">
        <v>2013</v>
      </c>
    </row>
    <row r="6" spans="1:17" x14ac:dyDescent="0.25">
      <c r="K6" s="15">
        <v>50</v>
      </c>
      <c r="L6" s="47">
        <v>0.52280000000000004</v>
      </c>
      <c r="M6" s="47">
        <v>0.55269999999999997</v>
      </c>
      <c r="N6" s="47">
        <v>0.63870000000000005</v>
      </c>
      <c r="O6" s="47">
        <v>0.73035000000000005</v>
      </c>
      <c r="P6" s="47">
        <v>0.77170000000000005</v>
      </c>
      <c r="Q6" s="47">
        <v>0.73160000000000003</v>
      </c>
    </row>
    <row r="7" spans="1:17" x14ac:dyDescent="0.25">
      <c r="K7" s="15">
        <v>51</v>
      </c>
      <c r="L7" s="47">
        <v>0.51</v>
      </c>
      <c r="M7" s="47">
        <v>0.54</v>
      </c>
      <c r="N7" s="47">
        <v>0.64</v>
      </c>
      <c r="O7" s="47">
        <v>0.73</v>
      </c>
      <c r="P7" s="47">
        <v>0.77</v>
      </c>
      <c r="Q7" s="47">
        <v>0.75</v>
      </c>
    </row>
    <row r="8" spans="1:17" x14ac:dyDescent="0.25">
      <c r="K8" s="15">
        <v>52</v>
      </c>
      <c r="L8" s="47">
        <v>0.52</v>
      </c>
      <c r="M8" s="47">
        <v>0.54</v>
      </c>
      <c r="N8" s="47">
        <v>0.59</v>
      </c>
      <c r="O8" s="47">
        <v>0.72</v>
      </c>
      <c r="P8" s="47">
        <v>0.74</v>
      </c>
      <c r="Q8" s="47">
        <v>0.75</v>
      </c>
    </row>
    <row r="9" spans="1:17" x14ac:dyDescent="0.25">
      <c r="K9" s="15">
        <v>53</v>
      </c>
      <c r="L9" s="47">
        <v>0.48</v>
      </c>
      <c r="M9" s="47">
        <v>0.54</v>
      </c>
      <c r="N9" s="47">
        <v>0.59</v>
      </c>
      <c r="O9" s="47">
        <v>0.71</v>
      </c>
      <c r="P9" s="47">
        <v>0.76</v>
      </c>
      <c r="Q9" s="47">
        <v>0.72</v>
      </c>
    </row>
    <row r="10" spans="1:17" x14ac:dyDescent="0.25">
      <c r="K10" s="15">
        <v>54</v>
      </c>
      <c r="L10" s="47">
        <v>0.56000000000000005</v>
      </c>
      <c r="M10" s="47">
        <v>0.52</v>
      </c>
      <c r="N10" s="47">
        <v>0.56000000000000005</v>
      </c>
      <c r="O10" s="47">
        <v>0.67</v>
      </c>
      <c r="P10" s="47">
        <v>0.71</v>
      </c>
      <c r="Q10" s="47">
        <v>0.73</v>
      </c>
    </row>
    <row r="11" spans="1:17" x14ac:dyDescent="0.25">
      <c r="K11" s="15">
        <v>55</v>
      </c>
      <c r="L11" s="47">
        <v>0.54</v>
      </c>
      <c r="M11" s="47">
        <v>0.52</v>
      </c>
      <c r="N11" s="47">
        <v>0.52</v>
      </c>
      <c r="O11" s="47">
        <v>0.64</v>
      </c>
      <c r="P11" s="47">
        <v>0.68</v>
      </c>
      <c r="Q11" s="47">
        <v>0.72</v>
      </c>
    </row>
    <row r="12" spans="1:17" x14ac:dyDescent="0.25">
      <c r="K12" s="15">
        <v>56</v>
      </c>
      <c r="L12" s="47">
        <v>0.45</v>
      </c>
      <c r="M12" s="47">
        <v>0.49</v>
      </c>
      <c r="N12" s="47">
        <v>0.54</v>
      </c>
      <c r="O12" s="47">
        <v>0.61</v>
      </c>
      <c r="P12" s="47">
        <v>0.67</v>
      </c>
      <c r="Q12" s="47">
        <v>0.71</v>
      </c>
    </row>
    <row r="13" spans="1:17" x14ac:dyDescent="0.25">
      <c r="K13" s="15">
        <v>57</v>
      </c>
      <c r="L13" s="47">
        <v>0.47</v>
      </c>
      <c r="M13" s="47">
        <v>0.48</v>
      </c>
      <c r="N13" s="47">
        <v>0.51</v>
      </c>
      <c r="O13" s="47">
        <v>0.56000000000000005</v>
      </c>
      <c r="P13" s="47">
        <v>0.63</v>
      </c>
      <c r="Q13" s="47">
        <v>0.68</v>
      </c>
    </row>
    <row r="14" spans="1:17" x14ac:dyDescent="0.25">
      <c r="K14" s="15">
        <v>58</v>
      </c>
      <c r="L14" s="47">
        <v>0.46</v>
      </c>
      <c r="M14" s="47">
        <v>0.5</v>
      </c>
      <c r="N14" s="47">
        <v>0.46</v>
      </c>
      <c r="O14" s="47">
        <v>0.56000000000000005</v>
      </c>
      <c r="P14" s="47">
        <v>0.61</v>
      </c>
      <c r="Q14" s="47">
        <v>0.63</v>
      </c>
    </row>
    <row r="15" spans="1:17" x14ac:dyDescent="0.25">
      <c r="K15" s="15">
        <v>59</v>
      </c>
      <c r="L15" s="47">
        <v>0.43</v>
      </c>
      <c r="M15" s="47">
        <v>0.45</v>
      </c>
      <c r="N15" s="47">
        <v>0.46</v>
      </c>
      <c r="O15" s="47">
        <v>0.49</v>
      </c>
      <c r="P15" s="47">
        <v>0.6</v>
      </c>
      <c r="Q15" s="47">
        <v>0.6</v>
      </c>
    </row>
    <row r="16" spans="1:17" x14ac:dyDescent="0.25">
      <c r="K16" s="15">
        <v>60</v>
      </c>
      <c r="L16" s="47">
        <v>0.39</v>
      </c>
      <c r="M16" s="47">
        <v>0.43</v>
      </c>
      <c r="N16" s="47">
        <v>0.45</v>
      </c>
      <c r="O16" s="47">
        <v>0.45</v>
      </c>
      <c r="P16" s="47">
        <v>0.56999999999999995</v>
      </c>
      <c r="Q16" s="47">
        <v>0.6</v>
      </c>
    </row>
    <row r="17" spans="1:17" x14ac:dyDescent="0.25">
      <c r="K17" s="15">
        <v>61</v>
      </c>
      <c r="L17" s="47">
        <v>0.33</v>
      </c>
      <c r="M17" s="47">
        <v>0.4</v>
      </c>
      <c r="N17" s="47">
        <v>0.38</v>
      </c>
      <c r="O17" s="47">
        <v>0.47</v>
      </c>
      <c r="P17" s="47">
        <v>0.52</v>
      </c>
      <c r="Q17" s="47">
        <v>0.56999999999999995</v>
      </c>
    </row>
    <row r="18" spans="1:17" x14ac:dyDescent="0.25">
      <c r="K18" s="15">
        <v>62</v>
      </c>
      <c r="L18" s="47">
        <v>0.34</v>
      </c>
      <c r="M18" s="47">
        <v>0.33</v>
      </c>
      <c r="N18" s="47">
        <v>0.32</v>
      </c>
      <c r="O18" s="47">
        <v>0.36</v>
      </c>
      <c r="P18" s="47">
        <v>0.47</v>
      </c>
      <c r="Q18" s="47">
        <v>0.49</v>
      </c>
    </row>
    <row r="19" spans="1:17" x14ac:dyDescent="0.25">
      <c r="K19" s="15">
        <v>63</v>
      </c>
      <c r="L19" s="47">
        <v>0.27</v>
      </c>
      <c r="M19" s="47">
        <v>0.28999999999999998</v>
      </c>
      <c r="N19" s="47">
        <v>0.32</v>
      </c>
      <c r="O19" s="47">
        <v>0.32</v>
      </c>
      <c r="P19" s="47">
        <v>0.36</v>
      </c>
      <c r="Q19" s="47">
        <v>0.46</v>
      </c>
    </row>
    <row r="20" spans="1:17" x14ac:dyDescent="0.25">
      <c r="A20" s="15" t="s">
        <v>52</v>
      </c>
      <c r="K20" s="15">
        <v>64</v>
      </c>
      <c r="L20" s="47">
        <v>0.28999999999999998</v>
      </c>
      <c r="M20" s="47">
        <v>0.28000000000000003</v>
      </c>
      <c r="N20" s="47">
        <v>0.22</v>
      </c>
      <c r="O20" s="47">
        <v>0.28000000000000003</v>
      </c>
      <c r="P20" s="47">
        <v>0.34</v>
      </c>
      <c r="Q20" s="47">
        <v>0.41</v>
      </c>
    </row>
    <row r="21" spans="1:17" x14ac:dyDescent="0.25">
      <c r="A21" s="45" t="s">
        <v>46</v>
      </c>
      <c r="K21" s="15">
        <v>65</v>
      </c>
      <c r="L21" s="47">
        <v>0.19</v>
      </c>
      <c r="M21" s="47">
        <v>0.19</v>
      </c>
      <c r="N21" s="47">
        <v>0.18</v>
      </c>
      <c r="O21" s="47">
        <v>0.21</v>
      </c>
      <c r="P21" s="47">
        <v>0.28999999999999998</v>
      </c>
      <c r="Q21" s="47">
        <v>0.35</v>
      </c>
    </row>
    <row r="22" spans="1:17" x14ac:dyDescent="0.25">
      <c r="K22" s="15">
        <v>66</v>
      </c>
      <c r="L22" s="47">
        <v>0.25</v>
      </c>
      <c r="M22" s="47">
        <v>0.16</v>
      </c>
      <c r="N22" s="47">
        <v>0.13</v>
      </c>
      <c r="O22" s="47">
        <v>0.18</v>
      </c>
      <c r="P22" s="47">
        <v>0.27</v>
      </c>
      <c r="Q22" s="47">
        <v>0.3</v>
      </c>
    </row>
    <row r="23" spans="1:17" x14ac:dyDescent="0.25">
      <c r="K23" s="15">
        <v>67</v>
      </c>
      <c r="L23" s="47">
        <v>0.19</v>
      </c>
      <c r="M23" s="47">
        <v>0.1</v>
      </c>
      <c r="N23" s="47">
        <v>0.15</v>
      </c>
      <c r="O23" s="47">
        <v>0.17</v>
      </c>
      <c r="P23" s="47">
        <v>0.25</v>
      </c>
      <c r="Q23" s="47">
        <v>0.25</v>
      </c>
    </row>
    <row r="24" spans="1:17" x14ac:dyDescent="0.25">
      <c r="K24" s="15">
        <v>68</v>
      </c>
      <c r="L24" s="47">
        <v>0.13</v>
      </c>
      <c r="M24" s="47">
        <v>0.14000000000000001</v>
      </c>
      <c r="N24" s="47">
        <v>0.12</v>
      </c>
      <c r="O24" s="47">
        <v>0.14000000000000001</v>
      </c>
      <c r="P24" s="47">
        <v>0.24</v>
      </c>
      <c r="Q24" s="47">
        <v>0.25</v>
      </c>
    </row>
    <row r="25" spans="1:17" x14ac:dyDescent="0.25">
      <c r="K25" s="15">
        <v>69</v>
      </c>
      <c r="L25" s="47">
        <v>0.17</v>
      </c>
      <c r="M25" s="47">
        <v>0.11</v>
      </c>
      <c r="N25" s="47">
        <v>0.12</v>
      </c>
      <c r="O25" s="47">
        <v>0.13</v>
      </c>
      <c r="P25" s="47">
        <v>0.21</v>
      </c>
      <c r="Q25" s="47">
        <v>0.2</v>
      </c>
    </row>
    <row r="26" spans="1:17" x14ac:dyDescent="0.25">
      <c r="K26" s="15">
        <v>70</v>
      </c>
      <c r="L26" s="47">
        <v>0.11</v>
      </c>
      <c r="M26" s="47">
        <v>0.1</v>
      </c>
      <c r="N26" s="47">
        <v>0.12</v>
      </c>
      <c r="O26" s="47">
        <v>0.11</v>
      </c>
      <c r="P26" s="47">
        <v>0.16</v>
      </c>
      <c r="Q26" s="47">
        <v>0.18</v>
      </c>
    </row>
    <row r="27" spans="1:17" x14ac:dyDescent="0.25">
      <c r="K27" s="15">
        <v>71</v>
      </c>
      <c r="L27" s="47">
        <v>0.12</v>
      </c>
      <c r="M27" s="47">
        <v>0.1</v>
      </c>
      <c r="N27" s="47">
        <v>0.1</v>
      </c>
      <c r="O27" s="47">
        <v>0.08</v>
      </c>
      <c r="P27" s="47">
        <v>0.12</v>
      </c>
      <c r="Q27" s="47">
        <v>0.17</v>
      </c>
    </row>
    <row r="28" spans="1:17" x14ac:dyDescent="0.25">
      <c r="K28" s="15">
        <v>72</v>
      </c>
      <c r="L28" s="47">
        <v>0.11</v>
      </c>
      <c r="M28" s="47">
        <v>7.0000000000000007E-2</v>
      </c>
      <c r="N28" s="47">
        <v>7.0000000000000007E-2</v>
      </c>
      <c r="O28" s="47">
        <v>0.1</v>
      </c>
      <c r="P28" s="47">
        <v>0.11</v>
      </c>
      <c r="Q28" s="47">
        <v>0.2</v>
      </c>
    </row>
    <row r="29" spans="1:17" x14ac:dyDescent="0.25">
      <c r="K29" s="15">
        <v>73</v>
      </c>
      <c r="L29" s="47">
        <v>0.06</v>
      </c>
      <c r="M29" s="47">
        <v>7.0000000000000007E-2</v>
      </c>
      <c r="N29" s="47">
        <v>0.06</v>
      </c>
      <c r="O29" s="47">
        <v>7.0000000000000007E-2</v>
      </c>
      <c r="P29" s="47">
        <v>0.09</v>
      </c>
      <c r="Q29" s="47">
        <v>0.15</v>
      </c>
    </row>
    <row r="30" spans="1:17" x14ac:dyDescent="0.25">
      <c r="K30" s="15">
        <v>74</v>
      </c>
      <c r="L30" s="47">
        <v>0.06</v>
      </c>
      <c r="M30" s="47">
        <v>0.06</v>
      </c>
      <c r="N30" s="47">
        <v>0.05</v>
      </c>
      <c r="O30" s="47">
        <v>0.05</v>
      </c>
      <c r="P30" s="47">
        <v>0.09</v>
      </c>
      <c r="Q30" s="47">
        <v>0.12</v>
      </c>
    </row>
    <row r="31" spans="1:17" x14ac:dyDescent="0.25">
      <c r="K31" s="15">
        <v>75</v>
      </c>
      <c r="L31" s="47">
        <v>0.04</v>
      </c>
      <c r="M31" s="47">
        <v>0.03</v>
      </c>
      <c r="N31" s="47">
        <v>0.05</v>
      </c>
      <c r="O31" s="47">
        <v>0.06</v>
      </c>
      <c r="P31" s="47">
        <v>0.08</v>
      </c>
      <c r="Q31" s="47">
        <v>0.12</v>
      </c>
    </row>
    <row r="32" spans="1:17" x14ac:dyDescent="0.25">
      <c r="K32" s="15">
        <v>76</v>
      </c>
      <c r="L32" s="47">
        <v>0.04</v>
      </c>
      <c r="M32" s="47">
        <v>0.06</v>
      </c>
      <c r="N32" s="47">
        <v>0.03</v>
      </c>
      <c r="O32" s="47">
        <v>0.05</v>
      </c>
      <c r="P32" s="47">
        <v>7.0000000000000007E-2</v>
      </c>
      <c r="Q32" s="47">
        <v>0.08</v>
      </c>
    </row>
    <row r="33" spans="11:17" x14ac:dyDescent="0.25">
      <c r="K33" s="15">
        <v>77</v>
      </c>
      <c r="L33" s="47">
        <v>0.09</v>
      </c>
      <c r="M33" s="47">
        <v>0.03</v>
      </c>
      <c r="N33" s="47">
        <v>0.02</v>
      </c>
      <c r="O33" s="47">
        <v>0.05</v>
      </c>
      <c r="P33" s="47">
        <v>7.0000000000000007E-2</v>
      </c>
      <c r="Q33" s="47">
        <v>0.09</v>
      </c>
    </row>
    <row r="34" spans="11:17" x14ac:dyDescent="0.25">
      <c r="K34" s="15">
        <v>78</v>
      </c>
      <c r="L34" s="47">
        <v>0.03</v>
      </c>
      <c r="M34" s="47">
        <v>0.03</v>
      </c>
      <c r="N34" s="47">
        <v>0.04</v>
      </c>
      <c r="O34" s="47">
        <v>0.03</v>
      </c>
      <c r="P34" s="47">
        <v>0.05</v>
      </c>
      <c r="Q34" s="47">
        <v>0.1</v>
      </c>
    </row>
    <row r="35" spans="11:17" x14ac:dyDescent="0.25">
      <c r="K35" s="15">
        <v>79</v>
      </c>
      <c r="L35" s="47">
        <v>0.04</v>
      </c>
      <c r="M35" s="47">
        <v>0.04</v>
      </c>
      <c r="N35" s="47">
        <v>0.04</v>
      </c>
      <c r="O35" s="47">
        <v>0.04</v>
      </c>
      <c r="P35" s="47">
        <v>0.04</v>
      </c>
      <c r="Q35" s="47">
        <v>0.09</v>
      </c>
    </row>
    <row r="36" spans="11:17" x14ac:dyDescent="0.25">
      <c r="K36" s="15">
        <v>80</v>
      </c>
      <c r="L36" s="47">
        <v>0.02</v>
      </c>
      <c r="M36" s="47">
        <v>0.02</v>
      </c>
      <c r="N36" s="47">
        <v>0.02</v>
      </c>
      <c r="O36" s="47">
        <v>0.02</v>
      </c>
      <c r="P36" s="47">
        <v>0.03</v>
      </c>
      <c r="Q36" s="47">
        <v>0.05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N40"/>
  <sheetViews>
    <sheetView workbookViewId="0">
      <selection activeCell="E39" sqref="E39"/>
    </sheetView>
  </sheetViews>
  <sheetFormatPr defaultRowHeight="15" x14ac:dyDescent="0.25"/>
  <cols>
    <col min="1" max="16384" width="9.140625" style="15"/>
  </cols>
  <sheetData>
    <row r="1" spans="1:14" x14ac:dyDescent="0.25">
      <c r="A1" s="15" t="s">
        <v>53</v>
      </c>
    </row>
    <row r="4" spans="1:14" x14ac:dyDescent="0.25">
      <c r="L4" s="15" t="s">
        <v>38</v>
      </c>
      <c r="M4" s="15" t="s">
        <v>42</v>
      </c>
      <c r="N4" s="15" t="s">
        <v>43</v>
      </c>
    </row>
    <row r="5" spans="1:14" x14ac:dyDescent="0.25">
      <c r="L5" s="15">
        <f>'Figure 2'!O3</f>
        <v>50</v>
      </c>
      <c r="M5" s="47">
        <f>'Figure 2'!U3/100</f>
        <v>0.83660000000000001</v>
      </c>
      <c r="N5" s="48">
        <f>'Figure 3'!Q6</f>
        <v>0.73160000000000003</v>
      </c>
    </row>
    <row r="6" spans="1:14" x14ac:dyDescent="0.25">
      <c r="L6" s="15">
        <f>'Figure 2'!O4</f>
        <v>51</v>
      </c>
      <c r="M6" s="47">
        <f>'Figure 2'!U4/100</f>
        <v>0.84</v>
      </c>
      <c r="N6" s="48">
        <f>'Figure 3'!Q7</f>
        <v>0.75</v>
      </c>
    </row>
    <row r="7" spans="1:14" x14ac:dyDescent="0.25">
      <c r="L7" s="15">
        <f>'Figure 2'!O5</f>
        <v>52</v>
      </c>
      <c r="M7" s="47">
        <f>'Figure 2'!U5/100</f>
        <v>0.83</v>
      </c>
      <c r="N7" s="48">
        <f>'Figure 3'!Q8</f>
        <v>0.75</v>
      </c>
    </row>
    <row r="8" spans="1:14" x14ac:dyDescent="0.25">
      <c r="L8" s="15">
        <f>'Figure 2'!O6</f>
        <v>53</v>
      </c>
      <c r="M8" s="47">
        <f>'Figure 2'!U6/100</f>
        <v>0.82</v>
      </c>
      <c r="N8" s="48">
        <f>'Figure 3'!Q9</f>
        <v>0.72</v>
      </c>
    </row>
    <row r="9" spans="1:14" x14ac:dyDescent="0.25">
      <c r="L9" s="15">
        <f>'Figure 2'!O7</f>
        <v>54</v>
      </c>
      <c r="M9" s="47">
        <f>'Figure 2'!U7/100</f>
        <v>0.82</v>
      </c>
      <c r="N9" s="48">
        <f>'Figure 3'!Q10</f>
        <v>0.73</v>
      </c>
    </row>
    <row r="10" spans="1:14" x14ac:dyDescent="0.25">
      <c r="L10" s="15">
        <f>'Figure 2'!O8</f>
        <v>55</v>
      </c>
      <c r="M10" s="47">
        <f>'Figure 2'!U8/100</f>
        <v>0.81</v>
      </c>
      <c r="N10" s="48">
        <f>'Figure 3'!Q11</f>
        <v>0.72</v>
      </c>
    </row>
    <row r="11" spans="1:14" x14ac:dyDescent="0.25">
      <c r="L11" s="15">
        <f>'Figure 2'!O9</f>
        <v>56</v>
      </c>
      <c r="M11" s="47">
        <f>'Figure 2'!U9/100</f>
        <v>0.78</v>
      </c>
      <c r="N11" s="48">
        <f>'Figure 3'!Q12</f>
        <v>0.71</v>
      </c>
    </row>
    <row r="12" spans="1:14" x14ac:dyDescent="0.25">
      <c r="L12" s="15">
        <f>'Figure 2'!O10</f>
        <v>57</v>
      </c>
      <c r="M12" s="47">
        <f>'Figure 2'!U10/100</f>
        <v>0.76</v>
      </c>
      <c r="N12" s="48">
        <f>'Figure 3'!Q13</f>
        <v>0.68</v>
      </c>
    </row>
    <row r="13" spans="1:14" x14ac:dyDescent="0.25">
      <c r="L13" s="15">
        <f>'Figure 2'!O11</f>
        <v>58</v>
      </c>
      <c r="M13" s="47">
        <f>'Figure 2'!U11/100</f>
        <v>0.76</v>
      </c>
      <c r="N13" s="48">
        <f>'Figure 3'!Q14</f>
        <v>0.63</v>
      </c>
    </row>
    <row r="14" spans="1:14" x14ac:dyDescent="0.25">
      <c r="L14" s="15">
        <f>'Figure 2'!O12</f>
        <v>59</v>
      </c>
      <c r="M14" s="47">
        <f>'Figure 2'!U12/100</f>
        <v>0.74</v>
      </c>
      <c r="N14" s="48">
        <f>'Figure 3'!Q15</f>
        <v>0.6</v>
      </c>
    </row>
    <row r="15" spans="1:14" x14ac:dyDescent="0.25">
      <c r="L15" s="15">
        <f>'Figure 2'!O13</f>
        <v>60</v>
      </c>
      <c r="M15" s="47">
        <f>'Figure 2'!U13/100</f>
        <v>0.72</v>
      </c>
      <c r="N15" s="48">
        <f>'Figure 3'!Q16</f>
        <v>0.6</v>
      </c>
    </row>
    <row r="16" spans="1:14" x14ac:dyDescent="0.25">
      <c r="L16" s="15">
        <f>'Figure 2'!O14</f>
        <v>61</v>
      </c>
      <c r="M16" s="47">
        <f>'Figure 2'!U14/100</f>
        <v>0.63</v>
      </c>
      <c r="N16" s="48">
        <f>'Figure 3'!Q17</f>
        <v>0.56999999999999995</v>
      </c>
    </row>
    <row r="17" spans="1:14" x14ac:dyDescent="0.25">
      <c r="L17" s="15">
        <f>'Figure 2'!O15</f>
        <v>62</v>
      </c>
      <c r="M17" s="47">
        <f>'Figure 2'!U15/100</f>
        <v>0.62</v>
      </c>
      <c r="N17" s="48">
        <f>'Figure 3'!Q18</f>
        <v>0.49</v>
      </c>
    </row>
    <row r="18" spans="1:14" x14ac:dyDescent="0.25">
      <c r="A18" s="15" t="s">
        <v>54</v>
      </c>
      <c r="L18" s="15">
        <f>'Figure 2'!O16</f>
        <v>63</v>
      </c>
      <c r="M18" s="47">
        <f>'Figure 2'!U16/100</f>
        <v>0.56999999999999995</v>
      </c>
      <c r="N18" s="48">
        <f>'Figure 3'!Q19</f>
        <v>0.46</v>
      </c>
    </row>
    <row r="19" spans="1:14" x14ac:dyDescent="0.25">
      <c r="A19" s="45" t="s">
        <v>46</v>
      </c>
      <c r="L19" s="15">
        <f>'Figure 2'!O17</f>
        <v>64</v>
      </c>
      <c r="M19" s="47">
        <f>'Figure 2'!U17/100</f>
        <v>0.49</v>
      </c>
      <c r="N19" s="48">
        <f>'Figure 3'!Q20</f>
        <v>0.41</v>
      </c>
    </row>
    <row r="20" spans="1:14" x14ac:dyDescent="0.25">
      <c r="L20" s="15">
        <f>'Figure 2'!O18</f>
        <v>65</v>
      </c>
      <c r="M20" s="47">
        <f>'Figure 2'!U18/100</f>
        <v>0.43</v>
      </c>
      <c r="N20" s="48">
        <f>'Figure 3'!Q21</f>
        <v>0.35</v>
      </c>
    </row>
    <row r="21" spans="1:14" x14ac:dyDescent="0.25">
      <c r="L21" s="15">
        <f>'Figure 2'!O19</f>
        <v>66</v>
      </c>
      <c r="M21" s="47">
        <f>'Figure 2'!U19/100</f>
        <v>0.41</v>
      </c>
      <c r="N21" s="48">
        <f>'Figure 3'!Q22</f>
        <v>0.3</v>
      </c>
    </row>
    <row r="22" spans="1:14" x14ac:dyDescent="0.25">
      <c r="L22" s="15">
        <f>'Figure 2'!O20</f>
        <v>67</v>
      </c>
      <c r="M22" s="47">
        <f>'Figure 2'!U20/100</f>
        <v>0.35</v>
      </c>
      <c r="N22" s="48">
        <f>'Figure 3'!Q23</f>
        <v>0.25</v>
      </c>
    </row>
    <row r="23" spans="1:14" x14ac:dyDescent="0.25">
      <c r="L23" s="15">
        <f>'Figure 2'!O21</f>
        <v>68</v>
      </c>
      <c r="M23" s="47">
        <f>'Figure 2'!U21/100</f>
        <v>0.3</v>
      </c>
      <c r="N23" s="48">
        <f>'Figure 3'!Q24</f>
        <v>0.25</v>
      </c>
    </row>
    <row r="24" spans="1:14" x14ac:dyDescent="0.25">
      <c r="L24" s="15">
        <f>'Figure 2'!O22</f>
        <v>69</v>
      </c>
      <c r="M24" s="47">
        <f>'Figure 2'!U22/100</f>
        <v>0.34</v>
      </c>
      <c r="N24" s="48">
        <f>'Figure 3'!Q25</f>
        <v>0.2</v>
      </c>
    </row>
    <row r="25" spans="1:14" x14ac:dyDescent="0.25">
      <c r="L25" s="15">
        <f>'Figure 2'!O23</f>
        <v>70</v>
      </c>
      <c r="M25" s="47">
        <f>'Figure 2'!U23/100</f>
        <v>0.27</v>
      </c>
      <c r="N25" s="48">
        <f>'Figure 3'!Q26</f>
        <v>0.18</v>
      </c>
    </row>
    <row r="26" spans="1:14" x14ac:dyDescent="0.25">
      <c r="L26" s="15">
        <f>'Figure 2'!O24</f>
        <v>71</v>
      </c>
      <c r="M26" s="47">
        <f>'Figure 2'!U24/100</f>
        <v>0.23</v>
      </c>
      <c r="N26" s="48">
        <f>'Figure 3'!Q27</f>
        <v>0.17</v>
      </c>
    </row>
    <row r="27" spans="1:14" x14ac:dyDescent="0.25">
      <c r="L27" s="15">
        <f>'Figure 2'!O25</f>
        <v>72</v>
      </c>
      <c r="M27" s="47">
        <f>'Figure 2'!U25/100</f>
        <v>0.23</v>
      </c>
      <c r="N27" s="48">
        <f>'Figure 3'!Q28</f>
        <v>0.2</v>
      </c>
    </row>
    <row r="28" spans="1:14" x14ac:dyDescent="0.25">
      <c r="L28" s="15">
        <f>'Figure 2'!O26</f>
        <v>73</v>
      </c>
      <c r="M28" s="47">
        <f>'Figure 2'!U26/100</f>
        <v>0.17</v>
      </c>
      <c r="N28" s="48">
        <f>'Figure 3'!Q29</f>
        <v>0.15</v>
      </c>
    </row>
    <row r="29" spans="1:14" x14ac:dyDescent="0.25">
      <c r="L29" s="15">
        <f>'Figure 2'!O27</f>
        <v>74</v>
      </c>
      <c r="M29" s="47">
        <f>'Figure 2'!U27/100</f>
        <v>0.22</v>
      </c>
      <c r="N29" s="48">
        <f>'Figure 3'!Q30</f>
        <v>0.12</v>
      </c>
    </row>
    <row r="30" spans="1:14" x14ac:dyDescent="0.25">
      <c r="L30" s="15">
        <f>'Figure 2'!O28</f>
        <v>75</v>
      </c>
      <c r="M30" s="47">
        <f>'Figure 2'!U28/100</f>
        <v>0.18</v>
      </c>
      <c r="N30" s="48">
        <f>'Figure 3'!Q31</f>
        <v>0.12</v>
      </c>
    </row>
    <row r="31" spans="1:14" x14ac:dyDescent="0.25">
      <c r="L31" s="15">
        <f>'Figure 2'!O29</f>
        <v>76</v>
      </c>
      <c r="M31" s="47">
        <f>'Figure 2'!U29/100</f>
        <v>0.14000000000000001</v>
      </c>
      <c r="N31" s="48">
        <f>'Figure 3'!Q32</f>
        <v>0.08</v>
      </c>
    </row>
    <row r="32" spans="1:14" x14ac:dyDescent="0.25">
      <c r="L32" s="15">
        <f>'Figure 2'!O30</f>
        <v>77</v>
      </c>
      <c r="M32" s="47">
        <f>'Figure 2'!U30/100</f>
        <v>0.14000000000000001</v>
      </c>
      <c r="N32" s="48">
        <f>'Figure 3'!Q33</f>
        <v>0.09</v>
      </c>
    </row>
    <row r="33" spans="12:14" x14ac:dyDescent="0.25">
      <c r="L33" s="15">
        <f>'Figure 2'!O31</f>
        <v>78</v>
      </c>
      <c r="M33" s="47">
        <f>'Figure 2'!U31/100</f>
        <v>0.1</v>
      </c>
      <c r="N33" s="48">
        <f>'Figure 3'!Q34</f>
        <v>0.1</v>
      </c>
    </row>
    <row r="34" spans="12:14" x14ac:dyDescent="0.25">
      <c r="L34" s="15">
        <f>'Figure 2'!O32</f>
        <v>79</v>
      </c>
      <c r="M34" s="47">
        <f>'Figure 2'!U32/100</f>
        <v>0.19</v>
      </c>
      <c r="N34" s="48">
        <f>'Figure 3'!Q35</f>
        <v>0.09</v>
      </c>
    </row>
    <row r="35" spans="12:14" x14ac:dyDescent="0.25">
      <c r="L35" s="15">
        <f>'Figure 2'!O33</f>
        <v>80</v>
      </c>
      <c r="M35" s="47">
        <f>'Figure 2'!U33/100</f>
        <v>0.12</v>
      </c>
      <c r="N35" s="48">
        <f>'Figure 3'!Q36</f>
        <v>0.05</v>
      </c>
    </row>
    <row r="36" spans="12:14" x14ac:dyDescent="0.25">
      <c r="M36" s="47"/>
      <c r="N36" s="48"/>
    </row>
    <row r="37" spans="12:14" x14ac:dyDescent="0.25">
      <c r="M37" s="47"/>
      <c r="N37" s="48"/>
    </row>
    <row r="38" spans="12:14" x14ac:dyDescent="0.25">
      <c r="M38" s="47"/>
      <c r="N38" s="48"/>
    </row>
    <row r="39" spans="12:14" x14ac:dyDescent="0.25">
      <c r="M39" s="47"/>
      <c r="N39" s="48"/>
    </row>
    <row r="40" spans="12:14" x14ac:dyDescent="0.25">
      <c r="M40" s="47"/>
      <c r="N40" s="4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P53"/>
  <sheetViews>
    <sheetView workbookViewId="0">
      <selection activeCell="E38" sqref="E38"/>
    </sheetView>
  </sheetViews>
  <sheetFormatPr defaultRowHeight="15" x14ac:dyDescent="0.25"/>
  <cols>
    <col min="1" max="16384" width="9.140625" style="15"/>
  </cols>
  <sheetData>
    <row r="1" spans="1:16" ht="15.75" x14ac:dyDescent="0.25">
      <c r="A1" s="44" t="s">
        <v>44</v>
      </c>
      <c r="N1" s="41" t="s">
        <v>41</v>
      </c>
      <c r="O1" s="42" t="s">
        <v>42</v>
      </c>
      <c r="P1" s="41" t="s">
        <v>43</v>
      </c>
    </row>
    <row r="2" spans="1:16" x14ac:dyDescent="0.25">
      <c r="N2" s="41">
        <f t="shared" ref="N2:N51" si="0">N3-1</f>
        <v>1962</v>
      </c>
      <c r="O2" s="43">
        <f>0.655592885375494*100</f>
        <v>65.559288537549392</v>
      </c>
      <c r="P2" s="43">
        <f>0.525057471264368*100</f>
        <v>52.505747126436795</v>
      </c>
    </row>
    <row r="3" spans="1:16" x14ac:dyDescent="0.25">
      <c r="N3" s="41">
        <f t="shared" si="0"/>
        <v>1963</v>
      </c>
      <c r="O3" s="43">
        <f>0.652134659525631*100</f>
        <v>65.213465952563098</v>
      </c>
      <c r="P3" s="43">
        <f>0.555974025974026*100</f>
        <v>55.597402597402599</v>
      </c>
    </row>
    <row r="4" spans="1:16" x14ac:dyDescent="0.25">
      <c r="N4" s="41">
        <f t="shared" si="0"/>
        <v>1964</v>
      </c>
      <c r="O4" s="43">
        <f>0.655764525993884*100</f>
        <v>65.576452599388404</v>
      </c>
      <c r="P4" s="43">
        <f>0.55447928331467*100</f>
        <v>55.447928331466997</v>
      </c>
    </row>
    <row r="5" spans="1:16" x14ac:dyDescent="0.25">
      <c r="N5" s="41">
        <f t="shared" si="0"/>
        <v>1965</v>
      </c>
      <c r="O5" s="43">
        <f>0.655889526542324*100</f>
        <v>65.588952654232401</v>
      </c>
      <c r="P5" s="43">
        <f>0.555007194244604*100</f>
        <v>55.500719424460399</v>
      </c>
    </row>
    <row r="6" spans="1:16" x14ac:dyDescent="0.25">
      <c r="N6" s="41">
        <f t="shared" si="0"/>
        <v>1966</v>
      </c>
      <c r="O6" s="43">
        <f>0.655569837189374*100</f>
        <v>65.556983718937403</v>
      </c>
      <c r="P6" s="43">
        <f>0.545694117647059*100</f>
        <v>54.569411764705897</v>
      </c>
    </row>
    <row r="7" spans="1:16" x14ac:dyDescent="0.25">
      <c r="N7" s="41">
        <f t="shared" si="0"/>
        <v>1967</v>
      </c>
      <c r="O7" s="43">
        <f>0.65558550968829*100</f>
        <v>65.558550968828996</v>
      </c>
      <c r="P7" s="43">
        <f>0.559389312977099*100</f>
        <v>55.938931297709907</v>
      </c>
    </row>
    <row r="8" spans="1:16" x14ac:dyDescent="0.25">
      <c r="N8" s="41">
        <f t="shared" si="0"/>
        <v>1968</v>
      </c>
      <c r="O8" s="43">
        <f>0.655824074074074*100</f>
        <v>65.582407407407402</v>
      </c>
      <c r="P8" s="43">
        <f>0.562528735632184*100</f>
        <v>56.252873563218401</v>
      </c>
    </row>
    <row r="9" spans="1:16" x14ac:dyDescent="0.25">
      <c r="N9" s="41">
        <f t="shared" si="0"/>
        <v>1969</v>
      </c>
      <c r="O9" s="43">
        <f>0.655679442508711*100</f>
        <v>65.567944250871108</v>
      </c>
      <c r="P9" s="43">
        <f>0.565165048543689*100</f>
        <v>56.516504854368897</v>
      </c>
    </row>
    <row r="10" spans="1:16" x14ac:dyDescent="0.25">
      <c r="N10" s="41">
        <f t="shared" si="0"/>
        <v>1970</v>
      </c>
      <c r="O10" s="43">
        <f>0.653890784982935*100</f>
        <v>65.3890784982935</v>
      </c>
      <c r="P10" s="43">
        <f>0.575983827493261*100</f>
        <v>57.598382749326106</v>
      </c>
    </row>
    <row r="11" spans="1:16" x14ac:dyDescent="0.25">
      <c r="N11" s="41">
        <f t="shared" si="0"/>
        <v>1971</v>
      </c>
      <c r="O11" s="43">
        <f>0.647238211879976*100</f>
        <v>64.723821187997601</v>
      </c>
      <c r="P11" s="43">
        <f>0.56443661971831*100</f>
        <v>56.443661971831006</v>
      </c>
    </row>
    <row r="12" spans="1:16" x14ac:dyDescent="0.25">
      <c r="N12" s="41">
        <f t="shared" si="0"/>
        <v>1972</v>
      </c>
      <c r="O12" s="43">
        <f>0.646560264171712*100</f>
        <v>64.656026417171191</v>
      </c>
      <c r="P12" s="43">
        <f>0.549396226415094*100</f>
        <v>54.939622641509402</v>
      </c>
    </row>
    <row r="13" spans="1:16" x14ac:dyDescent="0.25">
      <c r="N13" s="41">
        <f t="shared" si="0"/>
        <v>1973</v>
      </c>
      <c r="O13" s="43">
        <f>0.64592570401438*100</f>
        <v>64.592570401437996</v>
      </c>
      <c r="P13" s="43">
        <f>0.551951219512195*100</f>
        <v>55.195121951219491</v>
      </c>
    </row>
    <row r="14" spans="1:16" x14ac:dyDescent="0.25">
      <c r="N14" s="41">
        <f t="shared" si="0"/>
        <v>1974</v>
      </c>
      <c r="O14" s="43">
        <f>0.644673123486683*100</f>
        <v>64.467312348668301</v>
      </c>
      <c r="P14" s="43">
        <f>0.555892857142857*100</f>
        <v>55.589285714285694</v>
      </c>
    </row>
    <row r="15" spans="1:16" x14ac:dyDescent="0.25">
      <c r="N15" s="41">
        <f t="shared" si="0"/>
        <v>1975</v>
      </c>
      <c r="O15" s="43">
        <f>0.642873263888889*100</f>
        <v>64.2873263888889</v>
      </c>
      <c r="P15" s="43">
        <f>0.562781155015198*100</f>
        <v>56.2781155015198</v>
      </c>
    </row>
    <row r="16" spans="1:16" x14ac:dyDescent="0.25">
      <c r="N16" s="41">
        <f t="shared" si="0"/>
        <v>1976</v>
      </c>
      <c r="O16" s="43">
        <f>0.637628128724672*100</f>
        <v>63.762812872467201</v>
      </c>
      <c r="P16" s="43">
        <f>0.567106918238994*100</f>
        <v>56.710691823899396</v>
      </c>
    </row>
    <row r="17" spans="1:16" x14ac:dyDescent="0.25">
      <c r="N17" s="41">
        <f t="shared" si="0"/>
        <v>1977</v>
      </c>
      <c r="O17" s="43">
        <f>0.641763362265875*100</f>
        <v>64.176336226587509</v>
      </c>
      <c r="P17" s="43">
        <f>0.545544554455445*100</f>
        <v>54.554455445544505</v>
      </c>
    </row>
    <row r="18" spans="1:16" x14ac:dyDescent="0.25">
      <c r="N18" s="41">
        <f t="shared" si="0"/>
        <v>1978</v>
      </c>
      <c r="O18" s="43">
        <f>0.632228116710875*100</f>
        <v>63.222811671087499</v>
      </c>
      <c r="P18" s="43">
        <f>0.558277591973244*100</f>
        <v>55.827759197324397</v>
      </c>
    </row>
    <row r="19" spans="1:16" x14ac:dyDescent="0.25">
      <c r="N19" s="41">
        <f t="shared" si="0"/>
        <v>1979</v>
      </c>
      <c r="O19" s="43">
        <f>0.640113712374582*100</f>
        <v>64.011371237458206</v>
      </c>
      <c r="P19" s="43">
        <f>0.574436860068259*100</f>
        <v>57.443686006825899</v>
      </c>
    </row>
    <row r="20" spans="1:16" x14ac:dyDescent="0.25">
      <c r="A20" s="15" t="s">
        <v>45</v>
      </c>
      <c r="N20" s="41">
        <f t="shared" si="0"/>
        <v>1980</v>
      </c>
      <c r="O20" s="43">
        <f>0.641106651376147*100</f>
        <v>64.110665137614703</v>
      </c>
      <c r="P20" s="43">
        <f>0.556846473029046*100</f>
        <v>55.684647302904601</v>
      </c>
    </row>
    <row r="21" spans="1:16" x14ac:dyDescent="0.25">
      <c r="A21" s="45" t="s">
        <v>46</v>
      </c>
      <c r="N21" s="41">
        <f t="shared" si="0"/>
        <v>1981</v>
      </c>
      <c r="O21" s="43">
        <f>0.631692015209125*100</f>
        <v>63.169201520912502</v>
      </c>
      <c r="P21" s="43">
        <f>0.565171171171171*100</f>
        <v>56.517117117117103</v>
      </c>
    </row>
    <row r="22" spans="1:16" x14ac:dyDescent="0.25">
      <c r="N22" s="41">
        <f t="shared" si="0"/>
        <v>1982</v>
      </c>
      <c r="O22" s="43">
        <f>0.6227*100</f>
        <v>62.27</v>
      </c>
      <c r="P22" s="43">
        <f>0.562671755725191*100</f>
        <v>56.267175572519101</v>
      </c>
    </row>
    <row r="23" spans="1:16" x14ac:dyDescent="0.25">
      <c r="N23" s="41">
        <f t="shared" si="0"/>
        <v>1983</v>
      </c>
      <c r="O23" s="43">
        <f>0.626760895170789*100</f>
        <v>62.676089517078907</v>
      </c>
      <c r="P23" s="43">
        <f>0.562064896755162*100</f>
        <v>56.206489675516202</v>
      </c>
    </row>
    <row r="24" spans="1:16" x14ac:dyDescent="0.25">
      <c r="N24" s="41">
        <f t="shared" si="0"/>
        <v>1984</v>
      </c>
      <c r="O24" s="43">
        <f>0.627290640394089*100</f>
        <v>62.729064039408897</v>
      </c>
      <c r="P24" s="43">
        <f>0.572865384615385*100</f>
        <v>57.286538461538505</v>
      </c>
    </row>
    <row r="25" spans="1:16" x14ac:dyDescent="0.25">
      <c r="N25" s="41">
        <f t="shared" si="0"/>
        <v>1985</v>
      </c>
      <c r="O25" s="43">
        <f>0.619643320363165*100</f>
        <v>61.964332036316506</v>
      </c>
      <c r="P25" s="43">
        <f>0.576317907444668*100</f>
        <v>57.631790744466805</v>
      </c>
    </row>
    <row r="26" spans="1:16" x14ac:dyDescent="0.25">
      <c r="N26" s="41">
        <f t="shared" si="0"/>
        <v>1986</v>
      </c>
      <c r="O26" s="43">
        <f>0.624532940019666*100</f>
        <v>62.453294001966597</v>
      </c>
      <c r="P26" s="43">
        <f>0.571162790697674*100</f>
        <v>57.116279069767394</v>
      </c>
    </row>
    <row r="27" spans="1:16" x14ac:dyDescent="0.25">
      <c r="N27" s="41">
        <f t="shared" si="0"/>
        <v>1987</v>
      </c>
      <c r="O27" s="43">
        <f>0.625851581508516*100</f>
        <v>62.585158150851605</v>
      </c>
      <c r="P27" s="43">
        <f>0.572098092643052*100</f>
        <v>57.2098092643052</v>
      </c>
    </row>
    <row r="28" spans="1:16" x14ac:dyDescent="0.25">
      <c r="N28" s="41">
        <f t="shared" si="0"/>
        <v>1988</v>
      </c>
      <c r="O28" s="43">
        <f>0.624473684210526*100</f>
        <v>62.447368421052595</v>
      </c>
      <c r="P28" s="43">
        <f>0.580578778135048*100</f>
        <v>58.057877813504803</v>
      </c>
    </row>
    <row r="29" spans="1:16" x14ac:dyDescent="0.25">
      <c r="N29" s="41">
        <f t="shared" si="0"/>
        <v>1989</v>
      </c>
      <c r="O29" s="43">
        <f>0.623277931671284*100</f>
        <v>62.327793167128398</v>
      </c>
      <c r="P29" s="43">
        <f>0.587701612903226*100</f>
        <v>58.770161290322598</v>
      </c>
    </row>
    <row r="30" spans="1:16" x14ac:dyDescent="0.25">
      <c r="N30" s="41">
        <f t="shared" si="0"/>
        <v>1990</v>
      </c>
      <c r="O30" s="43">
        <f>0.623535353535353*100</f>
        <v>62.353535353535307</v>
      </c>
      <c r="P30" s="43">
        <f>0.592905317769131*100</f>
        <v>59.290531776913099</v>
      </c>
    </row>
    <row r="31" spans="1:16" x14ac:dyDescent="0.25">
      <c r="N31" s="41">
        <f t="shared" si="0"/>
        <v>1991</v>
      </c>
      <c r="O31" s="43">
        <f>0.618841698841699*100</f>
        <v>61.884169884169907</v>
      </c>
      <c r="P31" s="43">
        <f>0.591370056497175*100</f>
        <v>59.137005649717501</v>
      </c>
    </row>
    <row r="32" spans="1:16" x14ac:dyDescent="0.25">
      <c r="N32" s="41">
        <f t="shared" si="0"/>
        <v>1992</v>
      </c>
      <c r="O32" s="43">
        <f>0.624610552763819*100</f>
        <v>62.461055276381906</v>
      </c>
      <c r="P32" s="43">
        <f>0.58786231884058*100</f>
        <v>58.786231884058004</v>
      </c>
    </row>
    <row r="33" spans="14:16" x14ac:dyDescent="0.25">
      <c r="N33" s="41">
        <f t="shared" si="0"/>
        <v>1993</v>
      </c>
      <c r="O33" s="43">
        <f>0.624467805519054*100</f>
        <v>62.446780551905398</v>
      </c>
      <c r="P33" s="43">
        <f>0.585379146919431*100</f>
        <v>58.537914691943108</v>
      </c>
    </row>
    <row r="34" spans="14:16" x14ac:dyDescent="0.25">
      <c r="N34" s="41">
        <f t="shared" si="0"/>
        <v>1994</v>
      </c>
      <c r="O34" s="43">
        <f>0.620954201469642*100</f>
        <v>62.095420146964194</v>
      </c>
      <c r="P34" s="43">
        <f>0.592161483572075*100</f>
        <v>59.216148357207501</v>
      </c>
    </row>
    <row r="35" spans="14:16" x14ac:dyDescent="0.25">
      <c r="N35" s="41">
        <f t="shared" si="0"/>
        <v>1995</v>
      </c>
      <c r="O35" s="43">
        <f>0.617440597420231*100</f>
        <v>61.744059742023104</v>
      </c>
      <c r="P35" s="43">
        <f>0.598943820224719*100</f>
        <v>59.894382022471902</v>
      </c>
    </row>
    <row r="36" spans="14:16" x14ac:dyDescent="0.25">
      <c r="N36" s="41">
        <f t="shared" si="0"/>
        <v>1996</v>
      </c>
      <c r="O36" s="43">
        <f>0.622490774907749*100</f>
        <v>62.249077490774894</v>
      </c>
      <c r="P36" s="43">
        <f>0.59265306122449*100</f>
        <v>59.265306122449005</v>
      </c>
    </row>
    <row r="37" spans="14:16" x14ac:dyDescent="0.25">
      <c r="N37" s="41">
        <f t="shared" si="0"/>
        <v>1997</v>
      </c>
      <c r="O37" s="43">
        <f>0.624678522571819*100</f>
        <v>62.467852257181903</v>
      </c>
      <c r="P37" s="43">
        <f>0.598668730650155*100</f>
        <v>59.866873065015504</v>
      </c>
    </row>
    <row r="38" spans="14:16" x14ac:dyDescent="0.25">
      <c r="N38" s="41">
        <f t="shared" si="0"/>
        <v>1998</v>
      </c>
      <c r="O38" s="43">
        <f>0.628019680196802*100</f>
        <v>62.801968019680196</v>
      </c>
      <c r="P38" s="43">
        <f>0.598717948717949*100</f>
        <v>59.871794871794904</v>
      </c>
    </row>
    <row r="39" spans="14:16" x14ac:dyDescent="0.25">
      <c r="N39" s="41">
        <f t="shared" si="0"/>
        <v>1999</v>
      </c>
      <c r="O39" s="43">
        <f>0.624547677261614*100</f>
        <v>62.4547677261614</v>
      </c>
      <c r="P39" s="43">
        <f>0.599502664298401*100</f>
        <v>59.950266429840106</v>
      </c>
    </row>
    <row r="40" spans="14:16" x14ac:dyDescent="0.25">
      <c r="N40" s="41">
        <f t="shared" si="0"/>
        <v>2000</v>
      </c>
      <c r="O40" s="43">
        <f>0.625774240231548*100</f>
        <v>62.577424023154805</v>
      </c>
      <c r="P40" s="43">
        <f>0.597208765859285*100</f>
        <v>59.720876585928494</v>
      </c>
    </row>
    <row r="41" spans="14:16" x14ac:dyDescent="0.25">
      <c r="N41" s="41">
        <f t="shared" si="0"/>
        <v>2001</v>
      </c>
      <c r="O41" s="43">
        <f>0.625967413441955*100</f>
        <v>62.596741344195493</v>
      </c>
      <c r="P41" s="43">
        <f>0.603250517598344*100</f>
        <v>60.325051759834402</v>
      </c>
    </row>
    <row r="42" spans="14:16" x14ac:dyDescent="0.25">
      <c r="N42" s="41">
        <f t="shared" si="0"/>
        <v>2002</v>
      </c>
      <c r="O42" s="43">
        <f>0.628251057827927*100</f>
        <v>62.825105782792704</v>
      </c>
      <c r="P42" s="43">
        <f>0.611904323827047*100</f>
        <v>61.190432382704699</v>
      </c>
    </row>
    <row r="43" spans="14:16" x14ac:dyDescent="0.25">
      <c r="N43" s="41">
        <f t="shared" si="0"/>
        <v>2003</v>
      </c>
      <c r="O43" s="43">
        <f>0.626509009009009*100</f>
        <v>62.650900900900893</v>
      </c>
      <c r="P43" s="43">
        <f>0.611613805970149*100</f>
        <v>61.161380597014904</v>
      </c>
    </row>
    <row r="44" spans="14:16" x14ac:dyDescent="0.25">
      <c r="N44" s="41">
        <f t="shared" si="0"/>
        <v>2004</v>
      </c>
      <c r="O44" s="43">
        <f>0.631120797011208*100</f>
        <v>63.112079701120805</v>
      </c>
      <c r="P44" s="43">
        <f>0.613851203501094*100</f>
        <v>61.385120350109403</v>
      </c>
    </row>
    <row r="45" spans="14:16" x14ac:dyDescent="0.25">
      <c r="N45" s="41">
        <f t="shared" si="0"/>
        <v>2005</v>
      </c>
      <c r="O45" s="43">
        <f>0.628962360122075*100</f>
        <v>62.896236012207495</v>
      </c>
      <c r="P45" s="43">
        <f>0.612238046795524*100</f>
        <v>61.223804679552394</v>
      </c>
    </row>
    <row r="46" spans="14:16" x14ac:dyDescent="0.25">
      <c r="N46" s="41">
        <f t="shared" si="0"/>
        <v>2006</v>
      </c>
      <c r="O46" s="43">
        <f>0.63523758099352*100</f>
        <v>63.523758099352001</v>
      </c>
      <c r="P46" s="43">
        <f>0.614873765093304*100</f>
        <v>61.487376509330403</v>
      </c>
    </row>
    <row r="47" spans="14:16" x14ac:dyDescent="0.25">
      <c r="N47" s="41">
        <f t="shared" si="0"/>
        <v>2007</v>
      </c>
      <c r="O47" s="43">
        <f>0.629416058394161*100</f>
        <v>62.941605839416106</v>
      </c>
      <c r="P47" s="43">
        <f>0.615483870967742*100</f>
        <v>61.548387096774206</v>
      </c>
    </row>
    <row r="48" spans="14:16" x14ac:dyDescent="0.25">
      <c r="N48" s="41">
        <f t="shared" si="0"/>
        <v>2008</v>
      </c>
      <c r="O48" s="43">
        <f>0.640628078817734*100</f>
        <v>64.062807881773395</v>
      </c>
      <c r="P48" s="43">
        <f>0.617666666666667*100</f>
        <v>61.766666666666701</v>
      </c>
    </row>
    <row r="49" spans="14:16" x14ac:dyDescent="0.25">
      <c r="N49" s="41">
        <f t="shared" si="0"/>
        <v>2009</v>
      </c>
      <c r="O49" s="43">
        <f>0.641288244766506*100</f>
        <v>64.128824476650607</v>
      </c>
      <c r="P49" s="43">
        <f>0.618802228412256*100</f>
        <v>61.880222841225596</v>
      </c>
    </row>
    <row r="50" spans="14:16" x14ac:dyDescent="0.25">
      <c r="N50" s="41">
        <f t="shared" si="0"/>
        <v>2010</v>
      </c>
      <c r="O50" s="43">
        <f>0.640740410347904*100</f>
        <v>64.074041034790397</v>
      </c>
      <c r="P50" s="43">
        <f>0.623081632653061*100</f>
        <v>62.308163265306106</v>
      </c>
    </row>
    <row r="51" spans="14:16" x14ac:dyDescent="0.25">
      <c r="N51" s="41">
        <f t="shared" si="0"/>
        <v>2011</v>
      </c>
      <c r="O51" s="43">
        <f>0.636603053435115*100</f>
        <v>63.660305343511503</v>
      </c>
      <c r="P51" s="43">
        <f>0.620769230769231*100</f>
        <v>62.076923076923094</v>
      </c>
    </row>
    <row r="52" spans="14:16" x14ac:dyDescent="0.25">
      <c r="N52" s="41">
        <f>N53-1</f>
        <v>2012</v>
      </c>
      <c r="O52" s="43">
        <f>0.637426160337553*100</f>
        <v>63.742616033755297</v>
      </c>
      <c r="P52" s="43">
        <f>0.626496350364964*100</f>
        <v>62.649635036496399</v>
      </c>
    </row>
    <row r="53" spans="14:16" x14ac:dyDescent="0.25">
      <c r="N53" s="41">
        <v>2013</v>
      </c>
      <c r="O53" s="43">
        <f>0.639214659685864*100</f>
        <v>63.921465968586396</v>
      </c>
      <c r="P53" s="43">
        <f>0.619293628808864*100</f>
        <v>61.929362880886394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cafarema</cp:lastModifiedBy>
  <dcterms:created xsi:type="dcterms:W3CDTF">2015-02-12T15:04:59Z</dcterms:created>
  <dcterms:modified xsi:type="dcterms:W3CDTF">2015-10-19T18:48:59Z</dcterms:modified>
</cp:coreProperties>
</file>